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drawings/drawing4.xml" ContentType="application/vnd.openxmlformats-officedocument.drawing+xml"/>
  <Override PartName="/xl/ctrlProps/ctrlProp11.xml" ContentType="application/vnd.ms-excel.controlproperties+xml"/>
  <Override PartName="/xl/drawings/drawing5.xml" ContentType="application/vnd.openxmlformats-officedocument.drawing+xml"/>
  <Override PartName="/xl/ctrlProps/ctrlProp12.xml" ContentType="application/vnd.ms-excel.controlproperties+xml"/>
  <Override PartName="/xl/ctrlProps/ctrlProp13.xml" ContentType="application/vnd.ms-excel.controlproperties+xml"/>
  <Override PartName="/xl/drawings/drawing6.xml" ContentType="application/vnd.openxmlformats-officedocument.drawing+xml"/>
  <Override PartName="/xl/ctrlProps/ctrlProp14.xml" ContentType="application/vnd.ms-excel.controlproperties+xml"/>
  <Override PartName="/xl/drawings/drawing7.xml" ContentType="application/vnd.openxmlformats-officedocument.drawing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drawings/drawing8.xml" ContentType="application/vnd.openxmlformats-officedocument.drawing+xml"/>
  <Override PartName="/xl/ctrlProps/ctrlProp18.xml" ContentType="application/vnd.ms-excel.controlproperties+xml"/>
  <Override PartName="/xl/drawings/drawing9.xml" ContentType="application/vnd.openxmlformats-officedocument.drawing+xml"/>
  <Override PartName="/xl/ctrlProps/ctrlProp19.xml" ContentType="application/vnd.ms-excel.controlproperties+xml"/>
  <Override PartName="/xl/drawings/drawing10.xml" ContentType="application/vnd.openxmlformats-officedocument.drawing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UKU2019\IFLOOKUP\BUKU IF VLOOKUP\DISK\"/>
    </mc:Choice>
  </mc:AlternateContent>
  <bookViews>
    <workbookView xWindow="240" yWindow="120" windowWidth="20115" windowHeight="7485" tabRatio="849"/>
  </bookViews>
  <sheets>
    <sheet name="KASUS1" sheetId="17" r:id="rId1"/>
    <sheet name="KASUS2" sheetId="10" r:id="rId2"/>
    <sheet name="KASUS3" sheetId="6" r:id="rId3"/>
    <sheet name="KASUS4" sheetId="7" r:id="rId4"/>
    <sheet name="KASUS5" sheetId="8" r:id="rId5"/>
    <sheet name="KASUS6" sheetId="9" r:id="rId6"/>
    <sheet name="KASUS7" sheetId="11" r:id="rId7"/>
    <sheet name="KASUS8" sheetId="12" r:id="rId8"/>
    <sheet name="KASUS9" sheetId="14" r:id="rId9"/>
    <sheet name="KASUS10" sheetId="15" r:id="rId10"/>
    <sheet name="KASUS11" sheetId="21" r:id="rId11"/>
  </sheets>
  <definedNames>
    <definedName name="ARTI">KASUS2!$B$4:$G$11</definedName>
    <definedName name="PTKP">KASUS6!$B$13:$G$20</definedName>
    <definedName name="STATUS">KASUS6!$B$13:$C$20</definedName>
  </definedNames>
  <calcPr calcId="179021"/>
</workbook>
</file>

<file path=xl/calcChain.xml><?xml version="1.0" encoding="utf-8"?>
<calcChain xmlns="http://schemas.openxmlformats.org/spreadsheetml/2006/main">
  <c r="B7" i="21" l="1"/>
  <c r="E10" i="21"/>
  <c r="F7" i="21"/>
  <c r="E9" i="21" s="1"/>
  <c r="B12" i="21"/>
  <c r="F6" i="21"/>
  <c r="B13" i="21" s="1"/>
  <c r="F4" i="21"/>
  <c r="B3" i="21" s="1"/>
  <c r="E18" i="9"/>
  <c r="E19" i="9"/>
  <c r="E20" i="9"/>
  <c r="E17" i="9"/>
  <c r="F20" i="9"/>
  <c r="F19" i="9"/>
  <c r="F18" i="9"/>
  <c r="F15" i="9"/>
  <c r="F16" i="9"/>
  <c r="F14" i="9"/>
  <c r="F17" i="9"/>
  <c r="D14" i="9"/>
  <c r="D15" i="9"/>
  <c r="D16" i="9"/>
  <c r="D17" i="9"/>
  <c r="D18" i="9"/>
  <c r="D19" i="9"/>
  <c r="D20" i="9"/>
  <c r="D13" i="9"/>
  <c r="F7" i="7"/>
  <c r="D11" i="7" s="1"/>
  <c r="D14" i="7" s="1"/>
  <c r="D5" i="6"/>
  <c r="D6" i="6"/>
  <c r="D7" i="6"/>
  <c r="F8" i="17"/>
  <c r="F7" i="17"/>
  <c r="F6" i="17"/>
  <c r="E12" i="17"/>
  <c r="E11" i="17"/>
  <c r="F13" i="17" s="1"/>
  <c r="F5" i="17"/>
  <c r="B16" i="17" s="1"/>
  <c r="F3" i="15"/>
  <c r="F4" i="15" s="1"/>
  <c r="F14" i="14"/>
  <c r="E8" i="12"/>
  <c r="E5" i="12"/>
  <c r="E7" i="12" s="1"/>
  <c r="E4" i="12"/>
  <c r="B11" i="12" s="1"/>
  <c r="E3" i="11"/>
  <c r="E15" i="10"/>
  <c r="E14" i="10"/>
  <c r="I4" i="11"/>
  <c r="D6" i="8"/>
  <c r="D3" i="8"/>
  <c r="D5" i="8" s="1"/>
  <c r="D5" i="7"/>
  <c r="D3" i="6"/>
  <c r="D10" i="6" s="1"/>
  <c r="I6" i="11" l="1"/>
  <c r="D12" i="6"/>
  <c r="F11" i="21"/>
  <c r="F12" i="21" s="1"/>
  <c r="E18" i="14"/>
  <c r="E17" i="14"/>
  <c r="F17" i="14" s="1"/>
  <c r="E19" i="14"/>
  <c r="F19" i="14" s="1"/>
  <c r="F18" i="14"/>
  <c r="E9" i="12"/>
  <c r="E10" i="12" s="1"/>
  <c r="F7" i="12"/>
  <c r="I5" i="11"/>
  <c r="D7" i="8"/>
  <c r="D13" i="7"/>
  <c r="F8" i="7"/>
  <c r="D11" i="6"/>
  <c r="D13" i="6" s="1"/>
  <c r="F9" i="17"/>
  <c r="F14" i="17" s="1"/>
  <c r="F15" i="17" s="1"/>
  <c r="D10" i="7"/>
  <c r="D8" i="8"/>
  <c r="D9" i="8" s="1"/>
  <c r="G13" i="9"/>
  <c r="E7" i="15"/>
  <c r="F7" i="15" s="1"/>
  <c r="E8" i="15"/>
  <c r="F8" i="15" s="1"/>
  <c r="E9" i="15"/>
  <c r="F9" i="15" s="1"/>
  <c r="I7" i="11" l="1"/>
  <c r="E20" i="14"/>
  <c r="F20" i="14" s="1"/>
  <c r="F21" i="14" s="1"/>
  <c r="G14" i="9"/>
  <c r="E10" i="15"/>
  <c r="F10" i="15" s="1"/>
  <c r="F11" i="15" s="1"/>
  <c r="G15" i="9" l="1"/>
  <c r="G16" i="9" l="1"/>
  <c r="G17" i="9" l="1"/>
  <c r="G18" i="9" l="1"/>
  <c r="G20" i="9" l="1"/>
  <c r="F13" i="21" s="1"/>
  <c r="F14" i="21" s="1"/>
  <c r="G19" i="9"/>
  <c r="E22" i="21" l="1"/>
  <c r="F22" i="21" s="1"/>
  <c r="F15" i="21"/>
  <c r="F16" i="21" s="1"/>
  <c r="E19" i="21"/>
  <c r="F19" i="21" s="1"/>
  <c r="E21" i="21"/>
  <c r="F21" i="21" s="1"/>
  <c r="E20" i="21"/>
  <c r="F20" i="21" s="1"/>
  <c r="E4" i="11"/>
  <c r="F16" i="17"/>
  <c r="F17" i="17" s="1"/>
  <c r="E11" i="12"/>
  <c r="E12" i="12" s="1"/>
  <c r="F23" i="21" l="1"/>
  <c r="F24" i="21" s="1"/>
  <c r="E25" i="17"/>
  <c r="F25" i="17" s="1"/>
  <c r="E22" i="17"/>
  <c r="F22" i="17" s="1"/>
  <c r="F18" i="17"/>
  <c r="F19" i="17" s="1"/>
  <c r="E24" i="17"/>
  <c r="F24" i="17" s="1"/>
  <c r="E23" i="17" l="1"/>
  <c r="F23" i="17" s="1"/>
  <c r="F26" i="17" s="1"/>
  <c r="F27" i="17" s="1"/>
</calcChain>
</file>

<file path=xl/sharedStrings.xml><?xml version="1.0" encoding="utf-8"?>
<sst xmlns="http://schemas.openxmlformats.org/spreadsheetml/2006/main" count="169" uniqueCount="108">
  <si>
    <t>Premi Jaminan Kecelakaan Kerja</t>
  </si>
  <si>
    <t>Premi Jaminan Kematian</t>
  </si>
  <si>
    <t>Penghasilan Bruto</t>
  </si>
  <si>
    <t>Pengurang</t>
  </si>
  <si>
    <t>Biaya Jabatan</t>
  </si>
  <si>
    <t>Penghasilan Neto Sebulan</t>
  </si>
  <si>
    <t>Penghasilan Neto Setahun</t>
  </si>
  <si>
    <t>Nama</t>
  </si>
  <si>
    <t>Status Perkawinan</t>
  </si>
  <si>
    <t>Sel</t>
  </si>
  <si>
    <t>=</t>
  </si>
  <si>
    <t>PENGHASILAN BRUTO</t>
  </si>
  <si>
    <t>Gaji Sebulan</t>
  </si>
  <si>
    <t>Penghasilan Bruto Setahun</t>
  </si>
  <si>
    <t>BIAYA JABATAN</t>
  </si>
  <si>
    <t>Maksimal Sebulan</t>
  </si>
  <si>
    <t>Maksimal Setahun</t>
  </si>
  <si>
    <t>Pembuktian =</t>
  </si>
  <si>
    <t>Kesimpulan:</t>
  </si>
  <si>
    <t>PENGHASILAN NETO</t>
  </si>
  <si>
    <t>Iuran</t>
  </si>
  <si>
    <t>Pengurang Penghasilan Bruto</t>
  </si>
  <si>
    <t>PENGHASILAN TIDAK KENA PAJAK (PTKP)</t>
  </si>
  <si>
    <t>Wajib Pajak</t>
  </si>
  <si>
    <t>Penghasilan Tidak Kena Pajak (PTKP)</t>
  </si>
  <si>
    <t>Tambahan Wajib Pajak Kawin (menikah)</t>
  </si>
  <si>
    <t>No</t>
  </si>
  <si>
    <t>Status</t>
  </si>
  <si>
    <t>Tunj WP Kawin</t>
  </si>
  <si>
    <t>Tunjangan Keluarga</t>
  </si>
  <si>
    <t>PTKP</t>
  </si>
  <si>
    <t xml:space="preserve">Tambahan Anggota Keluarga </t>
  </si>
  <si>
    <t>Perkwn</t>
  </si>
  <si>
    <r>
      <rPr>
        <b/>
        <i/>
        <sz val="11"/>
        <color rgb="FFFF0000"/>
        <rFont val="Calibri"/>
        <family val="2"/>
        <scheme val="minor"/>
      </rPr>
      <t>Catatan:</t>
    </r>
    <r>
      <rPr>
        <sz val="11"/>
        <color theme="1"/>
        <rFont val="Calibri"/>
        <family val="2"/>
        <charset val="1"/>
        <scheme val="minor"/>
      </rPr>
      <t xml:space="preserve"> tambahan untuk anggota keluarga paling banyak 3 orang</t>
    </r>
  </si>
  <si>
    <t>TK/-</t>
  </si>
  <si>
    <t>TK/1</t>
  </si>
  <si>
    <t>TK/2</t>
  </si>
  <si>
    <t>TK/3</t>
  </si>
  <si>
    <t>K/-</t>
  </si>
  <si>
    <t>K/1</t>
  </si>
  <si>
    <t>K/2</t>
  </si>
  <si>
    <t>K/3</t>
  </si>
  <si>
    <t>nama range</t>
  </si>
  <si>
    <t>ARTI STATUS PERKAWINAN</t>
  </si>
  <si>
    <t>Arti</t>
  </si>
  <si>
    <t>Tidak kawin (menikah) dan tidak memiliki tanggungan keluarga</t>
  </si>
  <si>
    <t>Tidak kawin (menikah) dan  memiliki seorang (1) tanggungan keluarga</t>
  </si>
  <si>
    <t>Tidak kawin (menikah) dan  memiliki dua orang (2) tanggungan keluarga</t>
  </si>
  <si>
    <t>Tidak kawin (menikah) dan  memiliki tiga orang (3) tanggungan keluarga</t>
  </si>
  <si>
    <t>Kawin (menikah) dan tidak memiliki tanggungan keluarga</t>
  </si>
  <si>
    <t>Kawin (menikah) dan  memiliki seorang (1) tanggungan keluarga</t>
  </si>
  <si>
    <t>Kawin (menikah) dan  memiliki dua orang (2) tanggungan keluarga</t>
  </si>
  <si>
    <t>Kawin (menikah) dan  memiliki tiga orang (3) tanggungan keluarga</t>
  </si>
  <si>
    <r>
      <t>nama range B4:D11 &gt;&gt;</t>
    </r>
    <r>
      <rPr>
        <b/>
        <i/>
        <sz val="11"/>
        <color rgb="FF0000FF"/>
        <rFont val="Calibri"/>
        <family val="2"/>
        <scheme val="minor"/>
      </rPr>
      <t xml:space="preserve"> ARTI</t>
    </r>
  </si>
  <si>
    <t>Pilih Status Perkawinan</t>
  </si>
  <si>
    <t>Penjelasan Fungsi</t>
  </si>
  <si>
    <t>Fungsi</t>
  </si>
  <si>
    <t>PERHITUNGAN PTKP</t>
  </si>
  <si>
    <t>Rincian:</t>
  </si>
  <si>
    <t>Tunjangan WP Kawin</t>
  </si>
  <si>
    <t>PENGHASILAN KENA PAJAK (PKP)</t>
  </si>
  <si>
    <t>Pengurang:</t>
  </si>
  <si>
    <t>Iuran Dana Pensiun</t>
  </si>
  <si>
    <t>Jumlah Pengurang</t>
  </si>
  <si>
    <t>Penghasilan Kena Pajak (PKP)</t>
  </si>
  <si>
    <t>Penghasilan Bruto Sebulan</t>
  </si>
  <si>
    <t>TARIF PAJAK PENGHASILAN (PPh) PASAL 21</t>
  </si>
  <si>
    <t>Tarif Pasal 17 ayat (1) huruf a UU PPh:</t>
  </si>
  <si>
    <t>PPh Pasal 21</t>
  </si>
  <si>
    <t>Tarif</t>
  </si>
  <si>
    <t>Lapisan PKP</t>
  </si>
  <si>
    <t>Pajak</t>
  </si>
  <si>
    <t>E18</t>
  </si>
  <si>
    <t>E19</t>
  </si>
  <si>
    <t>E20</t>
  </si>
  <si>
    <t>Jumlah</t>
  </si>
  <si>
    <t>PAJAK PENGHASILAN (PPh) PASAL 21</t>
  </si>
  <si>
    <t>Pembuktian</t>
  </si>
  <si>
    <t>PPh Pasal 21 - PEGAWAI TETAP</t>
  </si>
  <si>
    <t>PPh Pasal 21 Setahun</t>
  </si>
  <si>
    <t>Pembuktian PPh Pasal 21</t>
  </si>
  <si>
    <t>E17</t>
  </si>
  <si>
    <t>F17</t>
  </si>
  <si>
    <t>F21</t>
  </si>
  <si>
    <t>=SUM(F17:F20)</t>
  </si>
  <si>
    <t>Gaji Bulanan</t>
  </si>
  <si>
    <t>PPh Pasal 21 Sebulan</t>
  </si>
  <si>
    <t>Jenis Penghasilan</t>
  </si>
  <si>
    <t>❶</t>
  </si>
  <si>
    <t>❷</t>
  </si>
  <si>
    <t>❸</t>
  </si>
  <si>
    <t>❹</t>
  </si>
  <si>
    <t>❺</t>
  </si>
  <si>
    <t>❻</t>
  </si>
  <si>
    <t>❼</t>
  </si>
  <si>
    <t>❽</t>
  </si>
  <si>
    <t>Dibayar perusahaan</t>
  </si>
  <si>
    <t>Jumlah Penghasilan Bruto Sebulan</t>
  </si>
  <si>
    <t>Penghasilan Bruto  Sebulan</t>
  </si>
  <si>
    <t>=IF(F14&lt;50000000;F14;50000000)</t>
  </si>
  <si>
    <t>=IF(F14&lt;=50000000;0;IF(F14&lt;=250000000;F14-E17;200000000))</t>
  </si>
  <si>
    <t>=IF(F14&lt;=250000000;0;IF(F14&lt;=500000000;F14-SUM(E17:E18);250000000))</t>
  </si>
  <si>
    <t>=IF(F14&lt;500000000;0;F14-SUM(E17:E19))</t>
  </si>
  <si>
    <t>=IF(E17=0;0;D17*E17) salin ke range F18:F20</t>
  </si>
  <si>
    <t>- Peraturan Menteri Keuangan Nomor: 101/PMK.10/2016</t>
  </si>
  <si>
    <t>- Berlaku mulai 1 Januari 2016</t>
  </si>
  <si>
    <r>
      <t>B13:C20 &gt;&gt;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rgb="FF0000FF"/>
        <rFont val="Calibri"/>
        <family val="2"/>
        <scheme val="minor"/>
      </rPr>
      <t>STATUS</t>
    </r>
  </si>
  <si>
    <r>
      <t>B13:G20 &gt;&gt;</t>
    </r>
    <r>
      <rPr>
        <b/>
        <i/>
        <sz val="11"/>
        <color rgb="FF0000FF"/>
        <rFont val="Calibri"/>
        <family val="2"/>
        <scheme val="minor"/>
      </rPr>
      <t xml:space="preserve"> PTKP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</si>
</sst>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8" x14ac:knownFonts="1">
    <font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b/>
      <sz val="14"/>
      <color rgb="FF0000FF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rgb="FF0000FF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</font>
    <font>
      <b/>
      <sz val="12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double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9" fontId="16" fillId="0" borderId="0" applyFont="0" applyFill="0" applyBorder="0" applyAlignment="0" applyProtection="0"/>
  </cellStyleXfs>
  <cellXfs count="137">
    <xf numFmtId="0" fontId="0" fillId="0" borderId="0" xfId="0"/>
    <xf numFmtId="0" fontId="0" fillId="0" borderId="0" xfId="0" applyAlignment="1">
      <alignment vertical="center"/>
    </xf>
    <xf numFmtId="37" fontId="0" fillId="0" borderId="0" xfId="0" applyNumberFormat="1" applyAlignment="1">
      <alignment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2" borderId="0" xfId="0" applyFont="1" applyFill="1" applyAlignment="1">
      <alignment horizontal="left" vertical="center" indent="1"/>
    </xf>
    <xf numFmtId="0" fontId="4" fillId="2" borderId="0" xfId="0" applyFont="1" applyFill="1" applyAlignment="1">
      <alignment vertical="center"/>
    </xf>
    <xf numFmtId="0" fontId="0" fillId="3" borderId="2" xfId="0" applyFill="1" applyBorder="1" applyAlignment="1">
      <alignment vertical="center"/>
    </xf>
    <xf numFmtId="0" fontId="0" fillId="3" borderId="2" xfId="0" quotePrefix="1" applyFill="1" applyBorder="1" applyAlignment="1">
      <alignment horizontal="left" vertical="center" indent="1"/>
    </xf>
    <xf numFmtId="0" fontId="5" fillId="0" borderId="0" xfId="0" applyFont="1" applyAlignment="1">
      <alignment vertical="center"/>
    </xf>
    <xf numFmtId="3" fontId="0" fillId="3" borderId="2" xfId="0" applyNumberFormat="1" applyFill="1" applyBorder="1" applyAlignment="1">
      <alignment horizontal="left" vertical="center" indent="1"/>
    </xf>
    <xf numFmtId="0" fontId="6" fillId="0" borderId="0" xfId="0" applyFont="1" applyAlignment="1">
      <alignment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1" fillId="0" borderId="0" xfId="0" applyFont="1" applyAlignment="1">
      <alignment vertical="center"/>
    </xf>
    <xf numFmtId="3" fontId="0" fillId="0" borderId="0" xfId="0" applyNumberFormat="1" applyAlignment="1">
      <alignment horizontal="left" vertical="center"/>
    </xf>
    <xf numFmtId="9" fontId="0" fillId="3" borderId="2" xfId="0" applyNumberFormat="1" applyFill="1" applyBorder="1" applyAlignment="1">
      <alignment horizontal="left" vertical="center" indent="1"/>
    </xf>
    <xf numFmtId="37" fontId="0" fillId="3" borderId="2" xfId="0" applyNumberFormat="1" applyFill="1" applyBorder="1" applyAlignment="1">
      <alignment vertical="center"/>
    </xf>
    <xf numFmtId="37" fontId="0" fillId="3" borderId="2" xfId="0" quotePrefix="1" applyNumberFormat="1" applyFill="1" applyBorder="1" applyAlignment="1">
      <alignment vertical="center"/>
    </xf>
    <xf numFmtId="3" fontId="0" fillId="0" borderId="0" xfId="0" applyNumberFormat="1" applyAlignment="1">
      <alignment vertical="center"/>
    </xf>
    <xf numFmtId="3" fontId="0" fillId="4" borderId="0" xfId="0" applyNumberFormat="1" applyFill="1" applyAlignment="1">
      <alignment vertical="center"/>
    </xf>
    <xf numFmtId="0" fontId="0" fillId="4" borderId="0" xfId="0" applyFill="1" applyAlignment="1">
      <alignment vertical="center"/>
    </xf>
    <xf numFmtId="0" fontId="4" fillId="5" borderId="0" xfId="0" applyFont="1" applyFill="1" applyAlignment="1">
      <alignment vertical="center"/>
    </xf>
    <xf numFmtId="0" fontId="4" fillId="5" borderId="0" xfId="0" applyFont="1" applyFill="1" applyAlignment="1">
      <alignment horizontal="right" vertical="center" indent="1"/>
    </xf>
    <xf numFmtId="3" fontId="0" fillId="3" borderId="2" xfId="0" applyNumberFormat="1" applyFill="1" applyBorder="1" applyAlignment="1">
      <alignment horizontal="right" vertical="center" indent="1"/>
    </xf>
    <xf numFmtId="0" fontId="7" fillId="5" borderId="5" xfId="0" applyFont="1" applyFill="1" applyBorder="1" applyAlignment="1">
      <alignment horizontal="center" vertical="center"/>
    </xf>
    <xf numFmtId="0" fontId="8" fillId="4" borderId="0" xfId="0" applyFont="1" applyFill="1" applyAlignment="1">
      <alignment vertical="center"/>
    </xf>
    <xf numFmtId="0" fontId="0" fillId="4" borderId="0" xfId="0" applyFill="1" applyAlignment="1">
      <alignment horizontal="center" vertical="center"/>
    </xf>
    <xf numFmtId="0" fontId="0" fillId="4" borderId="5" xfId="0" applyFill="1" applyBorder="1" applyAlignment="1">
      <alignment horizontal="left" vertical="center" indent="1"/>
    </xf>
    <xf numFmtId="37" fontId="0" fillId="4" borderId="2" xfId="0" applyNumberFormat="1" applyFill="1" applyBorder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left" vertical="center" indent="1"/>
    </xf>
    <xf numFmtId="0" fontId="0" fillId="3" borderId="0" xfId="0" applyFill="1" applyAlignment="1">
      <alignment horizontal="left" vertical="center" indent="1"/>
    </xf>
    <xf numFmtId="0" fontId="0" fillId="3" borderId="0" xfId="0" applyFill="1" applyAlignment="1">
      <alignment vertical="center"/>
    </xf>
    <xf numFmtId="0" fontId="0" fillId="0" borderId="0" xfId="0" applyFill="1" applyAlignment="1">
      <alignment horizontal="left" vertical="center"/>
    </xf>
    <xf numFmtId="0" fontId="0" fillId="0" borderId="0" xfId="0" applyFill="1" applyBorder="1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0" fillId="0" borderId="0" xfId="0" applyFill="1" applyAlignment="1">
      <alignment vertical="center"/>
    </xf>
    <xf numFmtId="0" fontId="4" fillId="5" borderId="3" xfId="0" applyFont="1" applyFill="1" applyBorder="1" applyAlignment="1">
      <alignment horizontal="left" vertical="center" indent="1"/>
    </xf>
    <xf numFmtId="0" fontId="4" fillId="5" borderId="3" xfId="0" applyFont="1" applyFill="1" applyBorder="1" applyAlignment="1">
      <alignment vertical="center"/>
    </xf>
    <xf numFmtId="0" fontId="0" fillId="3" borderId="4" xfId="0" quotePrefix="1" applyFill="1" applyBorder="1" applyAlignment="1">
      <alignment horizontal="left" vertical="center" indent="1"/>
    </xf>
    <xf numFmtId="0" fontId="0" fillId="2" borderId="0" xfId="0" applyFill="1" applyAlignment="1">
      <alignment vertical="center"/>
    </xf>
    <xf numFmtId="0" fontId="4" fillId="5" borderId="0" xfId="0" applyFont="1" applyFill="1" applyAlignment="1">
      <alignment horizontal="left" vertical="center" indent="1"/>
    </xf>
    <xf numFmtId="37" fontId="0" fillId="4" borderId="2" xfId="0" quotePrefix="1" applyNumberForma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37" fontId="0" fillId="0" borderId="0" xfId="0" applyNumberFormat="1" applyFill="1" applyBorder="1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left" vertical="center" indent="2"/>
    </xf>
    <xf numFmtId="37" fontId="0" fillId="0" borderId="0" xfId="0" quotePrefix="1" applyNumberFormat="1" applyBorder="1" applyAlignment="1">
      <alignment vertical="center"/>
    </xf>
    <xf numFmtId="0" fontId="4" fillId="2" borderId="3" xfId="0" applyFont="1" applyFill="1" applyBorder="1" applyAlignment="1">
      <alignment horizontal="left" vertical="center" indent="1"/>
    </xf>
    <xf numFmtId="3" fontId="0" fillId="0" borderId="0" xfId="0" applyNumberFormat="1" applyBorder="1" applyAlignment="1">
      <alignment vertical="center"/>
    </xf>
    <xf numFmtId="0" fontId="0" fillId="4" borderId="2" xfId="0" applyFill="1" applyBorder="1" applyAlignment="1">
      <alignment horizontal="left" vertical="center" indent="1"/>
    </xf>
    <xf numFmtId="37" fontId="0" fillId="0" borderId="6" xfId="0" quotePrefix="1" applyNumberFormat="1" applyBorder="1" applyAlignment="1">
      <alignment vertical="center"/>
    </xf>
    <xf numFmtId="37" fontId="0" fillId="0" borderId="0" xfId="0" applyNumberFormat="1" applyBorder="1" applyAlignment="1">
      <alignment vertical="center"/>
    </xf>
    <xf numFmtId="0" fontId="0" fillId="0" borderId="0" xfId="0" applyBorder="1" applyAlignment="1">
      <alignment horizontal="left" vertical="center" indent="1"/>
    </xf>
    <xf numFmtId="0" fontId="0" fillId="4" borderId="2" xfId="0" applyFill="1" applyBorder="1" applyAlignment="1">
      <alignment vertical="center"/>
    </xf>
    <xf numFmtId="0" fontId="0" fillId="4" borderId="2" xfId="0" quotePrefix="1" applyFill="1" applyBorder="1" applyAlignment="1">
      <alignment horizontal="left" vertical="center" indent="1"/>
    </xf>
    <xf numFmtId="0" fontId="4" fillId="2" borderId="3" xfId="0" applyFont="1" applyFill="1" applyBorder="1" applyAlignment="1">
      <alignment vertical="center"/>
    </xf>
    <xf numFmtId="37" fontId="0" fillId="4" borderId="4" xfId="0" applyNumberFormat="1" applyFill="1" applyBorder="1" applyAlignment="1">
      <alignment horizontal="left" vertical="center" indent="1"/>
    </xf>
    <xf numFmtId="37" fontId="0" fillId="3" borderId="4" xfId="0" applyNumberFormat="1" applyFill="1" applyBorder="1" applyAlignment="1">
      <alignment vertical="center"/>
    </xf>
    <xf numFmtId="37" fontId="0" fillId="3" borderId="4" xfId="0" quotePrefix="1" applyNumberFormat="1" applyFill="1" applyBorder="1" applyAlignment="1">
      <alignment vertical="center"/>
    </xf>
    <xf numFmtId="37" fontId="0" fillId="3" borderId="7" xfId="0" quotePrefix="1" applyNumberFormat="1" applyFill="1" applyBorder="1" applyAlignment="1">
      <alignment vertical="center"/>
    </xf>
    <xf numFmtId="0" fontId="4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37" fontId="0" fillId="4" borderId="0" xfId="0" applyNumberFormat="1" applyFill="1" applyAlignment="1">
      <alignment horizontal="left" vertical="center" indent="1"/>
    </xf>
    <xf numFmtId="0" fontId="6" fillId="0" borderId="0" xfId="0" applyFont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9" fontId="0" fillId="4" borderId="8" xfId="0" applyNumberFormat="1" applyFill="1" applyBorder="1" applyAlignment="1">
      <alignment horizontal="right" vertical="center" indent="1"/>
    </xf>
    <xf numFmtId="37" fontId="0" fillId="4" borderId="9" xfId="0" quotePrefix="1" applyNumberFormat="1" applyFill="1" applyBorder="1" applyAlignment="1">
      <alignment vertical="center"/>
    </xf>
    <xf numFmtId="9" fontId="0" fillId="4" borderId="0" xfId="0" applyNumberFormat="1" applyFill="1" applyBorder="1" applyAlignment="1">
      <alignment horizontal="right" vertical="center" indent="1"/>
    </xf>
    <xf numFmtId="37" fontId="0" fillId="4" borderId="2" xfId="0" quotePrefix="1" applyNumberFormat="1" applyFill="1" applyBorder="1" applyAlignment="1">
      <alignment vertical="center"/>
    </xf>
    <xf numFmtId="9" fontId="0" fillId="4" borderId="3" xfId="0" applyNumberFormat="1" applyFill="1" applyBorder="1" applyAlignment="1">
      <alignment horizontal="right" vertical="center" indent="1"/>
    </xf>
    <xf numFmtId="37" fontId="0" fillId="4" borderId="4" xfId="0" quotePrefix="1" applyNumberFormat="1" applyFill="1" applyBorder="1" applyAlignment="1">
      <alignment vertical="center"/>
    </xf>
    <xf numFmtId="37" fontId="0" fillId="4" borderId="4" xfId="0" applyNumberFormat="1" applyFill="1" applyBorder="1" applyAlignment="1">
      <alignment vertical="center"/>
    </xf>
    <xf numFmtId="0" fontId="6" fillId="0" borderId="0" xfId="0" applyFont="1" applyAlignment="1">
      <alignment horizontal="right" vertical="center" indent="1"/>
    </xf>
    <xf numFmtId="37" fontId="0" fillId="4" borderId="9" xfId="0" applyNumberFormat="1" applyFill="1" applyBorder="1" applyAlignment="1">
      <alignment vertical="center"/>
    </xf>
    <xf numFmtId="0" fontId="0" fillId="3" borderId="0" xfId="0" quotePrefix="1" applyFill="1" applyAlignment="1">
      <alignment horizontal="left" vertical="center" indent="1"/>
    </xf>
    <xf numFmtId="37" fontId="0" fillId="3" borderId="0" xfId="0" applyNumberFormat="1" applyFill="1" applyAlignment="1">
      <alignment horizontal="left" vertical="center" indent="1"/>
    </xf>
    <xf numFmtId="0" fontId="0" fillId="4" borderId="0" xfId="0" applyFill="1" applyAlignment="1">
      <alignment horizontal="left" vertical="center" indent="1"/>
    </xf>
    <xf numFmtId="37" fontId="0" fillId="4" borderId="0" xfId="0" quotePrefix="1" applyNumberFormat="1" applyFill="1" applyAlignment="1">
      <alignment vertical="center"/>
    </xf>
    <xf numFmtId="37" fontId="0" fillId="4" borderId="6" xfId="0" applyNumberFormat="1" applyFill="1" applyBorder="1" applyAlignment="1">
      <alignment vertical="center"/>
    </xf>
    <xf numFmtId="37" fontId="0" fillId="4" borderId="6" xfId="0" quotePrefix="1" applyNumberFormat="1" applyFill="1" applyBorder="1" applyAlignment="1">
      <alignment vertical="center"/>
    </xf>
    <xf numFmtId="0" fontId="0" fillId="4" borderId="0" xfId="0" quotePrefix="1" applyFill="1" applyAlignment="1">
      <alignment horizontal="left" vertical="center" indent="1"/>
    </xf>
    <xf numFmtId="37" fontId="0" fillId="4" borderId="1" xfId="0" quotePrefix="1" applyNumberFormat="1" applyFill="1" applyBorder="1" applyAlignment="1">
      <alignment vertical="center"/>
    </xf>
    <xf numFmtId="37" fontId="0" fillId="4" borderId="0" xfId="0" quotePrefix="1" applyNumberFormat="1" applyFill="1" applyBorder="1" applyAlignment="1">
      <alignment vertical="center"/>
    </xf>
    <xf numFmtId="37" fontId="0" fillId="4" borderId="10" xfId="0" quotePrefix="1" applyNumberFormat="1" applyFill="1" applyBorder="1" applyAlignment="1">
      <alignment vertical="center"/>
    </xf>
    <xf numFmtId="0" fontId="13" fillId="0" borderId="0" xfId="0" quotePrefix="1" applyFont="1" applyAlignment="1">
      <alignment vertical="center"/>
    </xf>
    <xf numFmtId="0" fontId="4" fillId="6" borderId="0" xfId="0" applyFont="1" applyFill="1" applyAlignment="1">
      <alignment horizontal="left" vertical="center" indent="1"/>
    </xf>
    <xf numFmtId="0" fontId="4" fillId="6" borderId="0" xfId="0" applyFont="1" applyFill="1" applyAlignment="1">
      <alignment vertical="center"/>
    </xf>
    <xf numFmtId="0" fontId="0" fillId="6" borderId="0" xfId="0" applyFill="1" applyAlignment="1">
      <alignment vertical="center"/>
    </xf>
    <xf numFmtId="37" fontId="0" fillId="3" borderId="2" xfId="0" applyNumberFormat="1" applyFill="1" applyBorder="1" applyAlignment="1">
      <alignment horizontal="right" vertical="center"/>
    </xf>
    <xf numFmtId="37" fontId="0" fillId="4" borderId="2" xfId="0" applyNumberFormat="1" applyFill="1" applyBorder="1" applyAlignment="1">
      <alignment horizontal="right" vertical="center"/>
    </xf>
    <xf numFmtId="0" fontId="0" fillId="2" borderId="3" xfId="0" applyFill="1" applyBorder="1" applyAlignment="1">
      <alignment vertical="center"/>
    </xf>
    <xf numFmtId="37" fontId="0" fillId="3" borderId="4" xfId="0" applyNumberFormat="1" applyFill="1" applyBorder="1" applyAlignment="1">
      <alignment horizontal="right" vertical="center"/>
    </xf>
    <xf numFmtId="0" fontId="0" fillId="3" borderId="4" xfId="0" applyFill="1" applyBorder="1" applyAlignment="1">
      <alignment vertical="center"/>
    </xf>
    <xf numFmtId="0" fontId="14" fillId="4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9" fontId="0" fillId="3" borderId="4" xfId="1" applyFont="1" applyFill="1" applyBorder="1" applyAlignment="1">
      <alignment horizontal="right" vertical="center" indent="1"/>
    </xf>
    <xf numFmtId="0" fontId="1" fillId="0" borderId="0" xfId="0" applyFont="1" applyAlignment="1">
      <alignment horizontal="right" vertical="center"/>
    </xf>
    <xf numFmtId="0" fontId="4" fillId="6" borderId="0" xfId="0" applyFont="1" applyFill="1" applyAlignment="1">
      <alignment horizontal="right" vertical="center" indent="1"/>
    </xf>
    <xf numFmtId="3" fontId="0" fillId="3" borderId="0" xfId="0" applyNumberFormat="1" applyFill="1" applyAlignment="1">
      <alignment horizontal="right" vertical="center" indent="1"/>
    </xf>
    <xf numFmtId="3" fontId="0" fillId="8" borderId="0" xfId="0" applyNumberFormat="1" applyFill="1" applyAlignment="1">
      <alignment horizontal="right" vertical="center" indent="1"/>
    </xf>
    <xf numFmtId="3" fontId="0" fillId="3" borderId="3" xfId="0" applyNumberFormat="1" applyFill="1" applyBorder="1" applyAlignment="1">
      <alignment horizontal="right" vertical="center" indent="1"/>
    </xf>
    <xf numFmtId="0" fontId="17" fillId="0" borderId="0" xfId="0" applyFont="1" applyAlignment="1">
      <alignment vertical="center"/>
    </xf>
    <xf numFmtId="0" fontId="4" fillId="6" borderId="11" xfId="0" applyFont="1" applyFill="1" applyBorder="1" applyAlignment="1">
      <alignment vertical="center"/>
    </xf>
    <xf numFmtId="0" fontId="4" fillId="6" borderId="11" xfId="0" applyFont="1" applyFill="1" applyBorder="1" applyAlignment="1">
      <alignment horizontal="right" vertical="center" indent="1"/>
    </xf>
    <xf numFmtId="3" fontId="0" fillId="4" borderId="2" xfId="0" applyNumberFormat="1" applyFill="1" applyBorder="1" applyAlignment="1">
      <alignment horizontal="right" vertical="center" indent="1"/>
    </xf>
    <xf numFmtId="0" fontId="0" fillId="4" borderId="2" xfId="0" applyFill="1" applyBorder="1" applyAlignment="1">
      <alignment horizontal="right" vertical="center" indent="1"/>
    </xf>
    <xf numFmtId="3" fontId="0" fillId="4" borderId="2" xfId="0" quotePrefix="1" applyNumberFormat="1" applyFill="1" applyBorder="1" applyAlignment="1">
      <alignment horizontal="right" vertical="center" indent="1"/>
    </xf>
    <xf numFmtId="3" fontId="0" fillId="3" borderId="12" xfId="0" quotePrefix="1" applyNumberFormat="1" applyFill="1" applyBorder="1" applyAlignment="1">
      <alignment horizontal="right" vertical="center" indent="1"/>
    </xf>
    <xf numFmtId="0" fontId="0" fillId="4" borderId="0" xfId="0" applyFill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left" vertical="center" indent="1"/>
    </xf>
    <xf numFmtId="0" fontId="13" fillId="0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0" fillId="0" borderId="0" xfId="0" applyFont="1" applyAlignment="1">
      <alignment vertical="center"/>
    </xf>
    <xf numFmtId="164" fontId="0" fillId="4" borderId="5" xfId="0" applyNumberFormat="1" applyFill="1" applyBorder="1" applyAlignment="1">
      <alignment vertical="center"/>
    </xf>
    <xf numFmtId="164" fontId="0" fillId="4" borderId="0" xfId="0" applyNumberFormat="1" applyFill="1" applyAlignment="1">
      <alignment vertical="center"/>
    </xf>
    <xf numFmtId="37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0" fillId="4" borderId="0" xfId="0" quotePrefix="1" applyFont="1" applyFill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7" fillId="5" borderId="0" xfId="0" applyFont="1" applyFill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Scroll" dx="16" fmlaLink="$A$6" horiz="1" inc="250" max="10000" min="6000" page="10" val="6000"/>
</file>

<file path=xl/ctrlProps/ctrlProp10.xml><?xml version="1.0" encoding="utf-8"?>
<formControlPr xmlns="http://schemas.microsoft.com/office/spreadsheetml/2009/9/main" objectType="Scroll" dx="16" fmlaLink="$A$5" horiz="1" inc="5" max="80" min="60" page="10" val="75"/>
</file>

<file path=xl/ctrlProps/ctrlProp11.xml><?xml version="1.0" encoding="utf-8"?>
<formControlPr xmlns="http://schemas.microsoft.com/office/spreadsheetml/2009/9/main" objectType="Scroll" dx="16" fmlaLink="$A$7" horiz="1" inc="250" max="15000" min="5000" page="10" val="10500"/>
</file>

<file path=xl/ctrlProps/ctrlProp12.xml><?xml version="1.0" encoding="utf-8"?>
<formControlPr xmlns="http://schemas.microsoft.com/office/spreadsheetml/2009/9/main" objectType="Scroll" dx="16" fmlaLink="$E$3" horiz="1" inc="250" max="25000" min="5000" page="10" val="15000"/>
</file>

<file path=xl/ctrlProps/ctrlProp13.xml><?xml version="1.0" encoding="utf-8"?>
<formControlPr xmlns="http://schemas.microsoft.com/office/spreadsheetml/2009/9/main" objectType="Scroll" dx="16" fmlaLink="$E$6" horiz="1" inc="5" max="750" min="200" page="10" val="200"/>
</file>

<file path=xl/ctrlProps/ctrlProp14.xml><?xml version="1.0" encoding="utf-8"?>
<formControlPr xmlns="http://schemas.microsoft.com/office/spreadsheetml/2009/9/main" objectType="Scroll" dx="16" fmlaLink="$A$3" horiz="1" max="8" min="1" page="10" val="8"/>
</file>

<file path=xl/ctrlProps/ctrlProp15.xml><?xml version="1.0" encoding="utf-8"?>
<formControlPr xmlns="http://schemas.microsoft.com/office/spreadsheetml/2009/9/main" objectType="Scroll" dx="16" fmlaLink="$A$5" horiz="1" inc="25" max="5000" min="300" page="10" val="1800"/>
</file>

<file path=xl/ctrlProps/ctrlProp16.xml><?xml version="1.0" encoding="utf-8"?>
<formControlPr xmlns="http://schemas.microsoft.com/office/spreadsheetml/2009/9/main" objectType="Scroll" dx="16" fmlaLink="$A$8" horiz="1" inc="25" max="1750" min="100" page="10" val="900"/>
</file>

<file path=xl/ctrlProps/ctrlProp17.xml><?xml version="1.0" encoding="utf-8"?>
<formControlPr xmlns="http://schemas.microsoft.com/office/spreadsheetml/2009/9/main" objectType="Scroll" dx="16" fmlaLink="$A$4" horiz="1" max="8" min="1" page="10" val="8"/>
</file>

<file path=xl/ctrlProps/ctrlProp18.xml><?xml version="1.0" encoding="utf-8"?>
<formControlPr xmlns="http://schemas.microsoft.com/office/spreadsheetml/2009/9/main" objectType="Scroll" dx="16" fmlaLink="$A$14" horiz="1" inc="5" max="600" min="25" page="10" val="600"/>
</file>

<file path=xl/ctrlProps/ctrlProp19.xml><?xml version="1.0" encoding="utf-8"?>
<formControlPr xmlns="http://schemas.microsoft.com/office/spreadsheetml/2009/9/main" objectType="Scroll" dx="16" fmlaLink="$A$3" horiz="1" inc="5" max="600" min="5" page="10" val="600"/>
</file>

<file path=xl/ctrlProps/ctrlProp2.xml><?xml version="1.0" encoding="utf-8"?>
<formControlPr xmlns="http://schemas.microsoft.com/office/spreadsheetml/2009/9/main" objectType="Scroll" dx="16" fmlaLink="$A$12" horiz="1" inc="5" max="250" min="50" page="10" val="75"/>
</file>

<file path=xl/ctrlProps/ctrlProp20.xml><?xml version="1.0" encoding="utf-8"?>
<formControlPr xmlns="http://schemas.microsoft.com/office/spreadsheetml/2009/9/main" objectType="Scroll" dx="16" fmlaLink="$A$7" horiz="1" inc="25" max="7500" min="300" page="10" val="1000"/>
</file>

<file path=xl/ctrlProps/ctrlProp21.xml><?xml version="1.0" encoding="utf-8"?>
<formControlPr xmlns="http://schemas.microsoft.com/office/spreadsheetml/2009/9/main" objectType="Scroll" dx="16" fmlaLink="$A$10" horiz="1" inc="5" max="1750" min="500" page="10" val="500"/>
</file>

<file path=xl/ctrlProps/ctrlProp22.xml><?xml version="1.0" encoding="utf-8"?>
<formControlPr xmlns="http://schemas.microsoft.com/office/spreadsheetml/2009/9/main" objectType="Scroll" dx="16" fmlaLink="$A$6" horiz="1" max="8" min="1" page="10" val="8"/>
</file>

<file path=xl/ctrlProps/ctrlProp23.xml><?xml version="1.0" encoding="utf-8"?>
<formControlPr xmlns="http://schemas.microsoft.com/office/spreadsheetml/2009/9/main" objectType="Scroll" dx="16" fmlaLink="$A$4" horiz="1" max="2" min="1" page="10" val="2"/>
</file>

<file path=xl/ctrlProps/ctrlProp3.xml><?xml version="1.0" encoding="utf-8"?>
<formControlPr xmlns="http://schemas.microsoft.com/office/spreadsheetml/2009/9/main" objectType="Scroll" dx="16" fmlaLink="$A$5" horiz="1" max="8" min="1" page="10" val="7"/>
</file>

<file path=xl/ctrlProps/ctrlProp4.xml><?xml version="1.0" encoding="utf-8"?>
<formControlPr xmlns="http://schemas.microsoft.com/office/spreadsheetml/2009/9/main" objectType="Scroll" dx="16" fmlaLink="$A$7" horiz="1" inc="5" max="100" min="20" page="10" val="70"/>
</file>

<file path=xl/ctrlProps/ctrlProp5.xml><?xml version="1.0" encoding="utf-8"?>
<formControlPr xmlns="http://schemas.microsoft.com/office/spreadsheetml/2009/9/main" objectType="Scroll" dx="16" fmlaLink="$A$8" horiz="1" inc="5" max="100" min="20" page="10" val="30"/>
</file>

<file path=xl/ctrlProps/ctrlProp6.xml><?xml version="1.0" encoding="utf-8"?>
<formControlPr xmlns="http://schemas.microsoft.com/office/spreadsheetml/2009/9/main" objectType="Scroll" dx="16" fmlaLink="$A$14" horiz="1" max="8" min="1" page="10" val="5"/>
</file>

<file path=xl/ctrlProps/ctrlProp7.xml><?xml version="1.0" encoding="utf-8"?>
<formControlPr xmlns="http://schemas.microsoft.com/office/spreadsheetml/2009/9/main" objectType="Scroll" dx="16" fmlaLink="$A$3" horiz="1" inc="250" max="15000" min="6000" page="10" val="6000"/>
</file>

<file path=xl/ctrlProps/ctrlProp8.xml><?xml version="1.0" encoding="utf-8"?>
<formControlPr xmlns="http://schemas.microsoft.com/office/spreadsheetml/2009/9/main" objectType="Scroll" dx="16" fmlaLink="$A$6" horiz="1" inc="5" max="100" min="50" page="10" val="60"/>
</file>

<file path=xl/ctrlProps/ctrlProp9.xml><?xml version="1.0" encoding="utf-8"?>
<formControlPr xmlns="http://schemas.microsoft.com/office/spreadsheetml/2009/9/main" objectType="Scroll" dx="16" fmlaLink="$A$7" horiz="1" inc="5" max="100" min="50" page="10" val="50"/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257175</xdr:colOff>
          <xdr:row>5</xdr:row>
          <xdr:rowOff>19050</xdr:rowOff>
        </xdr:from>
        <xdr:to>
          <xdr:col>4</xdr:col>
          <xdr:colOff>742950</xdr:colOff>
          <xdr:row>5</xdr:row>
          <xdr:rowOff>180975</xdr:rowOff>
        </xdr:to>
        <xdr:sp macro="" textlink="">
          <xdr:nvSpPr>
            <xdr:cNvPr id="14337" name="Scroll Bar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="" xmlns:a16="http://schemas.microsoft.com/office/drawing/2014/main" id="{00000000-0008-0000-00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1323975</xdr:colOff>
          <xdr:row>11</xdr:row>
          <xdr:rowOff>19050</xdr:rowOff>
        </xdr:from>
        <xdr:to>
          <xdr:col>3</xdr:col>
          <xdr:colOff>485775</xdr:colOff>
          <xdr:row>11</xdr:row>
          <xdr:rowOff>180975</xdr:rowOff>
        </xdr:to>
        <xdr:sp macro="" textlink="">
          <xdr:nvSpPr>
            <xdr:cNvPr id="14338" name="Scroll Bar 2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="" xmlns:a16="http://schemas.microsoft.com/office/drawing/2014/main" id="{00000000-0008-0000-00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257175</xdr:colOff>
          <xdr:row>4</xdr:row>
          <xdr:rowOff>28575</xdr:rowOff>
        </xdr:from>
        <xdr:to>
          <xdr:col>4</xdr:col>
          <xdr:colOff>742950</xdr:colOff>
          <xdr:row>4</xdr:row>
          <xdr:rowOff>190500</xdr:rowOff>
        </xdr:to>
        <xdr:sp macro="" textlink="">
          <xdr:nvSpPr>
            <xdr:cNvPr id="14339" name="Scroll Bar 3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="" xmlns:a16="http://schemas.microsoft.com/office/drawing/2014/main" id="{00000000-0008-0000-00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257175</xdr:colOff>
          <xdr:row>6</xdr:row>
          <xdr:rowOff>9525</xdr:rowOff>
        </xdr:from>
        <xdr:to>
          <xdr:col>4</xdr:col>
          <xdr:colOff>742950</xdr:colOff>
          <xdr:row>6</xdr:row>
          <xdr:rowOff>171450</xdr:rowOff>
        </xdr:to>
        <xdr:sp macro="" textlink="">
          <xdr:nvSpPr>
            <xdr:cNvPr id="14340" name="Scroll Bar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="" xmlns:a16="http://schemas.microsoft.com/office/drawing/2014/main" id="{00000000-0008-0000-00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257175</xdr:colOff>
          <xdr:row>7</xdr:row>
          <xdr:rowOff>0</xdr:rowOff>
        </xdr:from>
        <xdr:to>
          <xdr:col>4</xdr:col>
          <xdr:colOff>742950</xdr:colOff>
          <xdr:row>7</xdr:row>
          <xdr:rowOff>161925</xdr:rowOff>
        </xdr:to>
        <xdr:sp macro="" textlink="">
          <xdr:nvSpPr>
            <xdr:cNvPr id="14341" name="Scroll Bar 5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="" xmlns:a16="http://schemas.microsoft.com/office/drawing/2014/main" id="{00000000-0008-0000-00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257175</xdr:colOff>
          <xdr:row>6</xdr:row>
          <xdr:rowOff>9525</xdr:rowOff>
        </xdr:from>
        <xdr:to>
          <xdr:col>4</xdr:col>
          <xdr:colOff>742950</xdr:colOff>
          <xdr:row>6</xdr:row>
          <xdr:rowOff>171450</xdr:rowOff>
        </xdr:to>
        <xdr:sp macro="" textlink="">
          <xdr:nvSpPr>
            <xdr:cNvPr id="36865" name="Scroll Bar 1" hidden="1">
              <a:extLst>
                <a:ext uri="{63B3BB69-23CF-44E3-9099-C40C66FF867C}">
                  <a14:compatExt spid="_x0000_s36865"/>
                </a:ext>
                <a:ext uri="{FF2B5EF4-FFF2-40B4-BE49-F238E27FC236}">
                  <a16:creationId xmlns="" xmlns:a16="http://schemas.microsoft.com/office/drawing/2014/main" id="{00000000-0008-0000-0A00-000001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1323975</xdr:colOff>
          <xdr:row>9</xdr:row>
          <xdr:rowOff>19050</xdr:rowOff>
        </xdr:from>
        <xdr:to>
          <xdr:col>3</xdr:col>
          <xdr:colOff>485775</xdr:colOff>
          <xdr:row>9</xdr:row>
          <xdr:rowOff>180975</xdr:rowOff>
        </xdr:to>
        <xdr:sp macro="" textlink="">
          <xdr:nvSpPr>
            <xdr:cNvPr id="36866" name="Scroll Bar 2" hidden="1">
              <a:extLst>
                <a:ext uri="{63B3BB69-23CF-44E3-9099-C40C66FF867C}">
                  <a14:compatExt spid="_x0000_s36866"/>
                </a:ext>
                <a:ext uri="{FF2B5EF4-FFF2-40B4-BE49-F238E27FC236}">
                  <a16:creationId xmlns="" xmlns:a16="http://schemas.microsoft.com/office/drawing/2014/main" id="{00000000-0008-0000-0A00-000002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257175</xdr:colOff>
          <xdr:row>5</xdr:row>
          <xdr:rowOff>19050</xdr:rowOff>
        </xdr:from>
        <xdr:to>
          <xdr:col>4</xdr:col>
          <xdr:colOff>742950</xdr:colOff>
          <xdr:row>5</xdr:row>
          <xdr:rowOff>180975</xdr:rowOff>
        </xdr:to>
        <xdr:sp macro="" textlink="">
          <xdr:nvSpPr>
            <xdr:cNvPr id="36867" name="Scroll Bar 3" hidden="1">
              <a:extLst>
                <a:ext uri="{63B3BB69-23CF-44E3-9099-C40C66FF867C}">
                  <a14:compatExt spid="_x0000_s36867"/>
                </a:ext>
                <a:ext uri="{FF2B5EF4-FFF2-40B4-BE49-F238E27FC236}">
                  <a16:creationId xmlns="" xmlns:a16="http://schemas.microsoft.com/office/drawing/2014/main" id="{00000000-0008-0000-0A00-000003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257175</xdr:colOff>
          <xdr:row>3</xdr:row>
          <xdr:rowOff>19050</xdr:rowOff>
        </xdr:from>
        <xdr:to>
          <xdr:col>4</xdr:col>
          <xdr:colOff>742950</xdr:colOff>
          <xdr:row>3</xdr:row>
          <xdr:rowOff>180975</xdr:rowOff>
        </xdr:to>
        <xdr:sp macro="" textlink="">
          <xdr:nvSpPr>
            <xdr:cNvPr id="36868" name="Scroll Bar 4" hidden="1">
              <a:extLst>
                <a:ext uri="{63B3BB69-23CF-44E3-9099-C40C66FF867C}">
                  <a14:compatExt spid="_x0000_s36868"/>
                </a:ext>
                <a:ext uri="{FF2B5EF4-FFF2-40B4-BE49-F238E27FC236}">
                  <a16:creationId xmlns="" xmlns:a16="http://schemas.microsoft.com/office/drawing/2014/main" id="{00000000-0008-0000-0A00-000004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590550</xdr:colOff>
          <xdr:row>13</xdr:row>
          <xdr:rowOff>28575</xdr:rowOff>
        </xdr:from>
        <xdr:to>
          <xdr:col>3</xdr:col>
          <xdr:colOff>1076325</xdr:colOff>
          <xdr:row>13</xdr:row>
          <xdr:rowOff>190500</xdr:rowOff>
        </xdr:to>
        <xdr:sp macro="" textlink="">
          <xdr:nvSpPr>
            <xdr:cNvPr id="7169" name="Scroll Bar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="" xmlns:a16="http://schemas.microsoft.com/office/drawing/2014/main" id="{00000000-0008-0000-01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</xdr:row>
          <xdr:rowOff>19050</xdr:rowOff>
        </xdr:from>
        <xdr:to>
          <xdr:col>2</xdr:col>
          <xdr:colOff>1943100</xdr:colOff>
          <xdr:row>2</xdr:row>
          <xdr:rowOff>180975</xdr:rowOff>
        </xdr:to>
        <xdr:sp macro="" textlink="">
          <xdr:nvSpPr>
            <xdr:cNvPr id="4097" name="Scroll Bar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="" xmlns:a16="http://schemas.microsoft.com/office/drawing/2014/main" id="{00000000-0008-0000-02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5</xdr:row>
          <xdr:rowOff>19050</xdr:rowOff>
        </xdr:from>
        <xdr:to>
          <xdr:col>2</xdr:col>
          <xdr:colOff>1943100</xdr:colOff>
          <xdr:row>5</xdr:row>
          <xdr:rowOff>180975</xdr:rowOff>
        </xdr:to>
        <xdr:sp macro="" textlink="">
          <xdr:nvSpPr>
            <xdr:cNvPr id="4098" name="Scroll Bar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="" xmlns:a16="http://schemas.microsoft.com/office/drawing/2014/main" id="{00000000-0008-0000-02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6</xdr:row>
          <xdr:rowOff>9525</xdr:rowOff>
        </xdr:from>
        <xdr:to>
          <xdr:col>2</xdr:col>
          <xdr:colOff>1943100</xdr:colOff>
          <xdr:row>6</xdr:row>
          <xdr:rowOff>171450</xdr:rowOff>
        </xdr:to>
        <xdr:sp macro="" textlink="">
          <xdr:nvSpPr>
            <xdr:cNvPr id="4099" name="Scroll Bar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="" xmlns:a16="http://schemas.microsoft.com/office/drawing/2014/main" id="{00000000-0008-0000-02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4</xdr:row>
          <xdr:rowOff>19050</xdr:rowOff>
        </xdr:from>
        <xdr:to>
          <xdr:col>2</xdr:col>
          <xdr:colOff>1943100</xdr:colOff>
          <xdr:row>4</xdr:row>
          <xdr:rowOff>180975</xdr:rowOff>
        </xdr:to>
        <xdr:sp macro="" textlink="">
          <xdr:nvSpPr>
            <xdr:cNvPr id="4100" name="Scroll Bar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="" xmlns:a16="http://schemas.microsoft.com/office/drawing/2014/main" id="{00000000-0008-0000-02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476250</xdr:colOff>
          <xdr:row>6</xdr:row>
          <xdr:rowOff>19050</xdr:rowOff>
        </xdr:from>
        <xdr:to>
          <xdr:col>4</xdr:col>
          <xdr:colOff>266700</xdr:colOff>
          <xdr:row>6</xdr:row>
          <xdr:rowOff>180975</xdr:rowOff>
        </xdr:to>
        <xdr:sp macro="" textlink="">
          <xdr:nvSpPr>
            <xdr:cNvPr id="5121" name="Scroll Bar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="" xmlns:a16="http://schemas.microsoft.com/office/drawing/2014/main" id="{00000000-0008-0000-03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1343025</xdr:colOff>
          <xdr:row>2</xdr:row>
          <xdr:rowOff>19050</xdr:rowOff>
        </xdr:from>
        <xdr:to>
          <xdr:col>2</xdr:col>
          <xdr:colOff>1828800</xdr:colOff>
          <xdr:row>2</xdr:row>
          <xdr:rowOff>180975</xdr:rowOff>
        </xdr:to>
        <xdr:sp macro="" textlink="">
          <xdr:nvSpPr>
            <xdr:cNvPr id="6145" name="Scroll Bar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="" xmlns:a16="http://schemas.microsoft.com/office/drawing/2014/main" id="{00000000-0008-0000-04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1343025</xdr:colOff>
          <xdr:row>5</xdr:row>
          <xdr:rowOff>9525</xdr:rowOff>
        </xdr:from>
        <xdr:to>
          <xdr:col>2</xdr:col>
          <xdr:colOff>1828800</xdr:colOff>
          <xdr:row>5</xdr:row>
          <xdr:rowOff>171450</xdr:rowOff>
        </xdr:to>
        <xdr:sp macro="" textlink="">
          <xdr:nvSpPr>
            <xdr:cNvPr id="6146" name="Scroll Bar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="" xmlns:a16="http://schemas.microsoft.com/office/drawing/2014/main" id="{00000000-0008-0000-04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2</xdr:row>
          <xdr:rowOff>19050</xdr:rowOff>
        </xdr:from>
        <xdr:to>
          <xdr:col>3</xdr:col>
          <xdr:colOff>676275</xdr:colOff>
          <xdr:row>2</xdr:row>
          <xdr:rowOff>180975</xdr:rowOff>
        </xdr:to>
        <xdr:sp macro="" textlink="">
          <xdr:nvSpPr>
            <xdr:cNvPr id="8193" name="Scroll Bar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="" xmlns:a16="http://schemas.microsoft.com/office/drawing/2014/main" id="{00000000-0008-0000-06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1295400</xdr:colOff>
          <xdr:row>4</xdr:row>
          <xdr:rowOff>19050</xdr:rowOff>
        </xdr:from>
        <xdr:to>
          <xdr:col>3</xdr:col>
          <xdr:colOff>476250</xdr:colOff>
          <xdr:row>4</xdr:row>
          <xdr:rowOff>180975</xdr:rowOff>
        </xdr:to>
        <xdr:sp macro="" textlink="">
          <xdr:nvSpPr>
            <xdr:cNvPr id="9217" name="Scroll Bar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="" xmlns:a16="http://schemas.microsoft.com/office/drawing/2014/main" id="{00000000-0008-0000-07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1323975</xdr:colOff>
          <xdr:row>7</xdr:row>
          <xdr:rowOff>19050</xdr:rowOff>
        </xdr:from>
        <xdr:to>
          <xdr:col>3</xdr:col>
          <xdr:colOff>485775</xdr:colOff>
          <xdr:row>7</xdr:row>
          <xdr:rowOff>180975</xdr:rowOff>
        </xdr:to>
        <xdr:sp macro="" textlink="">
          <xdr:nvSpPr>
            <xdr:cNvPr id="9218" name="Scroll Bar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="" xmlns:a16="http://schemas.microsoft.com/office/drawing/2014/main" id="{00000000-0008-0000-07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1295400</xdr:colOff>
          <xdr:row>3</xdr:row>
          <xdr:rowOff>19050</xdr:rowOff>
        </xdr:from>
        <xdr:to>
          <xdr:col>3</xdr:col>
          <xdr:colOff>476250</xdr:colOff>
          <xdr:row>3</xdr:row>
          <xdr:rowOff>180975</xdr:rowOff>
        </xdr:to>
        <xdr:sp macro="" textlink="">
          <xdr:nvSpPr>
            <xdr:cNvPr id="9219" name="Scroll Bar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="" xmlns:a16="http://schemas.microsoft.com/office/drawing/2014/main" id="{00000000-0008-0000-07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3</xdr:row>
      <xdr:rowOff>85726</xdr:rowOff>
    </xdr:from>
    <xdr:to>
      <xdr:col>7</xdr:col>
      <xdr:colOff>771525</xdr:colOff>
      <xdr:row>11</xdr:row>
      <xdr:rowOff>181159</xdr:rowOff>
    </xdr:to>
    <xdr:pic>
      <xdr:nvPicPr>
        <xdr:cNvPr id="2" name="Picture 1" descr="T3.jpg"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00050" y="762001"/>
          <a:ext cx="4581525" cy="1619433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257175</xdr:colOff>
          <xdr:row>13</xdr:row>
          <xdr:rowOff>28575</xdr:rowOff>
        </xdr:from>
        <xdr:to>
          <xdr:col>4</xdr:col>
          <xdr:colOff>742950</xdr:colOff>
          <xdr:row>13</xdr:row>
          <xdr:rowOff>190500</xdr:rowOff>
        </xdr:to>
        <xdr:sp macro="" textlink="">
          <xdr:nvSpPr>
            <xdr:cNvPr id="11265" name="Scroll Bar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="" xmlns:a16="http://schemas.microsoft.com/office/drawing/2014/main" id="{00000000-0008-0000-08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257175</xdr:colOff>
          <xdr:row>2</xdr:row>
          <xdr:rowOff>28575</xdr:rowOff>
        </xdr:from>
        <xdr:to>
          <xdr:col>4</xdr:col>
          <xdr:colOff>742950</xdr:colOff>
          <xdr:row>2</xdr:row>
          <xdr:rowOff>190500</xdr:rowOff>
        </xdr:to>
        <xdr:sp macro="" textlink="">
          <xdr:nvSpPr>
            <xdr:cNvPr id="12289" name="Scroll Bar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="" xmlns:a16="http://schemas.microsoft.com/office/drawing/2014/main" id="{00000000-0008-0000-09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7" Type="http://schemas.openxmlformats.org/officeDocument/2006/relationships/ctrlProp" Target="../ctrlProps/ctrlProp5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9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0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0.xml"/><Relationship Id="rId6" Type="http://schemas.openxmlformats.org/officeDocument/2006/relationships/ctrlProp" Target="../ctrlProps/ctrlProp23.xml"/><Relationship Id="rId5" Type="http://schemas.openxmlformats.org/officeDocument/2006/relationships/ctrlProp" Target="../ctrlProps/ctrlProp22.xml"/><Relationship Id="rId4" Type="http://schemas.openxmlformats.org/officeDocument/2006/relationships/ctrlProp" Target="../ctrlProps/ctrlProp2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7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0.xml"/><Relationship Id="rId5" Type="http://schemas.openxmlformats.org/officeDocument/2006/relationships/ctrlProp" Target="../ctrlProps/ctrlProp9.xml"/><Relationship Id="rId4" Type="http://schemas.openxmlformats.org/officeDocument/2006/relationships/ctrlProp" Target="../ctrlProps/ctrlProp8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1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13.xml"/><Relationship Id="rId4" Type="http://schemas.openxmlformats.org/officeDocument/2006/relationships/ctrlProp" Target="../ctrlProps/ctrlProp1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4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7.xml"/><Relationship Id="rId5" Type="http://schemas.openxmlformats.org/officeDocument/2006/relationships/ctrlProp" Target="../ctrlProps/ctrlProp16.xml"/><Relationship Id="rId4" Type="http://schemas.openxmlformats.org/officeDocument/2006/relationships/ctrlProp" Target="../ctrlProps/ctrlProp15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8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8"/>
  <sheetViews>
    <sheetView showGridLines="0" tabSelected="1" zoomScaleNormal="100" workbookViewId="0">
      <selection activeCell="F14" sqref="F14"/>
    </sheetView>
  </sheetViews>
  <sheetFormatPr defaultRowHeight="15" x14ac:dyDescent="0.25"/>
  <cols>
    <col min="1" max="1" width="5.85546875" style="1" customWidth="1"/>
    <col min="2" max="2" width="6.7109375" style="1" customWidth="1"/>
    <col min="3" max="3" width="19.5703125" style="1" customWidth="1"/>
    <col min="4" max="4" width="7.85546875" style="1" customWidth="1"/>
    <col min="5" max="5" width="12.28515625" style="1" customWidth="1"/>
    <col min="6" max="6" width="12.7109375" style="1" customWidth="1"/>
    <col min="7" max="7" width="2.28515625" style="1" customWidth="1"/>
    <col min="8" max="8" width="3.85546875" style="105" customWidth="1"/>
    <col min="9" max="9" width="5.85546875" style="1" customWidth="1"/>
    <col min="10" max="16384" width="9.140625" style="1"/>
  </cols>
  <sheetData>
    <row r="1" spans="1:8" ht="19.5" customHeight="1" x14ac:dyDescent="0.25"/>
    <row r="2" spans="1:8" ht="18.75" x14ac:dyDescent="0.25">
      <c r="B2" s="4" t="s">
        <v>78</v>
      </c>
    </row>
    <row r="3" spans="1:8" ht="15.75" x14ac:dyDescent="0.25">
      <c r="B3" s="108" t="s">
        <v>85</v>
      </c>
    </row>
    <row r="4" spans="1:8" ht="16.5" customHeight="1" x14ac:dyDescent="0.25">
      <c r="B4" s="6" t="s">
        <v>7</v>
      </c>
      <c r="C4" s="7"/>
      <c r="D4" s="7"/>
      <c r="E4" s="103"/>
      <c r="F4" s="37"/>
    </row>
    <row r="5" spans="1:8" ht="16.5" customHeight="1" x14ac:dyDescent="0.25">
      <c r="A5" s="17">
        <v>7</v>
      </c>
      <c r="B5" s="6" t="s">
        <v>8</v>
      </c>
      <c r="C5" s="7"/>
      <c r="D5" s="7"/>
      <c r="E5" s="45"/>
      <c r="F5" s="9" t="str">
        <f>VLOOKUP(A5,STATUS,2)</f>
        <v>K/2</v>
      </c>
      <c r="H5" s="106" t="s">
        <v>88</v>
      </c>
    </row>
    <row r="6" spans="1:8" ht="16.5" customHeight="1" x14ac:dyDescent="0.25">
      <c r="A6" s="17">
        <v>6000</v>
      </c>
      <c r="B6" s="6" t="s">
        <v>12</v>
      </c>
      <c r="C6" s="7"/>
      <c r="D6" s="7"/>
      <c r="E6" s="45"/>
      <c r="F6" s="99">
        <f>A6*1000</f>
        <v>6000000</v>
      </c>
      <c r="H6" s="107"/>
    </row>
    <row r="7" spans="1:8" ht="16.5" customHeight="1" x14ac:dyDescent="0.25">
      <c r="A7" s="17">
        <v>70</v>
      </c>
      <c r="B7" s="6" t="s">
        <v>0</v>
      </c>
      <c r="C7" s="7"/>
      <c r="D7" s="7"/>
      <c r="E7" s="45"/>
      <c r="F7" s="99">
        <f>A7*1000</f>
        <v>70000</v>
      </c>
      <c r="H7" s="107"/>
    </row>
    <row r="8" spans="1:8" ht="16.5" customHeight="1" x14ac:dyDescent="0.25">
      <c r="A8" s="17">
        <v>30</v>
      </c>
      <c r="B8" s="56" t="s">
        <v>1</v>
      </c>
      <c r="C8" s="64"/>
      <c r="D8" s="64"/>
      <c r="E8" s="101"/>
      <c r="F8" s="102">
        <f>A8*1000</f>
        <v>30000</v>
      </c>
      <c r="H8" s="107"/>
    </row>
    <row r="9" spans="1:8" ht="16.5" customHeight="1" x14ac:dyDescent="0.25">
      <c r="A9" s="17"/>
      <c r="B9" s="96" t="s">
        <v>2</v>
      </c>
      <c r="C9" s="97"/>
      <c r="D9" s="97"/>
      <c r="E9" s="98"/>
      <c r="F9" s="100">
        <f>SUM(F6:F8)</f>
        <v>6100000</v>
      </c>
      <c r="H9" s="106" t="s">
        <v>89</v>
      </c>
    </row>
    <row r="10" spans="1:8" ht="16.5" customHeight="1" x14ac:dyDescent="0.25">
      <c r="A10" s="17"/>
      <c r="B10" s="87" t="s">
        <v>61</v>
      </c>
      <c r="C10" s="24"/>
      <c r="D10" s="24"/>
      <c r="E10" s="24"/>
      <c r="F10" s="24"/>
    </row>
    <row r="11" spans="1:8" ht="16.5" customHeight="1" x14ac:dyDescent="0.25">
      <c r="A11" s="17"/>
      <c r="B11" s="24"/>
      <c r="C11" s="24" t="s">
        <v>4</v>
      </c>
      <c r="D11" s="24"/>
      <c r="E11" s="88">
        <f>IF(5%*F6&gt;500000,500000,5%*F6)</f>
        <v>300000</v>
      </c>
      <c r="F11" s="104" t="s">
        <v>90</v>
      </c>
    </row>
    <row r="12" spans="1:8" ht="16.5" customHeight="1" x14ac:dyDescent="0.25">
      <c r="A12" s="17">
        <v>75</v>
      </c>
      <c r="B12" s="24"/>
      <c r="C12" s="24" t="s">
        <v>62</v>
      </c>
      <c r="D12" s="24"/>
      <c r="E12" s="89">
        <f>A12*1000</f>
        <v>75000</v>
      </c>
      <c r="F12" s="23"/>
      <c r="H12" s="107"/>
    </row>
    <row r="13" spans="1:8" ht="16.5" customHeight="1" x14ac:dyDescent="0.25">
      <c r="B13" s="24"/>
      <c r="C13" s="24"/>
      <c r="D13" s="24"/>
      <c r="E13" s="24"/>
      <c r="F13" s="90">
        <f>SUM(E11:E12)</f>
        <v>375000</v>
      </c>
    </row>
    <row r="14" spans="1:8" ht="16.5" customHeight="1" x14ac:dyDescent="0.25">
      <c r="B14" s="87" t="s">
        <v>5</v>
      </c>
      <c r="C14" s="24"/>
      <c r="D14" s="24"/>
      <c r="E14" s="24"/>
      <c r="F14" s="93">
        <f>F9-F13</f>
        <v>5725000</v>
      </c>
      <c r="H14" s="106" t="s">
        <v>91</v>
      </c>
    </row>
    <row r="15" spans="1:8" ht="16.5" customHeight="1" x14ac:dyDescent="0.25">
      <c r="B15" s="87" t="s">
        <v>6</v>
      </c>
      <c r="C15" s="24"/>
      <c r="D15" s="24"/>
      <c r="E15" s="24"/>
      <c r="F15" s="88">
        <f>F14*12</f>
        <v>68700000</v>
      </c>
      <c r="H15" s="106" t="s">
        <v>92</v>
      </c>
    </row>
    <row r="16" spans="1:8" ht="16.5" customHeight="1" x14ac:dyDescent="0.25">
      <c r="B16" s="91" t="str">
        <f>"Penghasilan Tidak Kena Pajak - "&amp;F5</f>
        <v>Penghasilan Tidak Kena Pajak - K/2</v>
      </c>
      <c r="C16" s="24"/>
      <c r="D16" s="24"/>
      <c r="E16" s="24"/>
      <c r="F16" s="90">
        <f>VLOOKUP(A5,PTKP,6)</f>
        <v>67500000</v>
      </c>
      <c r="H16" s="106" t="s">
        <v>93</v>
      </c>
    </row>
    <row r="17" spans="2:8" ht="16.5" customHeight="1" x14ac:dyDescent="0.25">
      <c r="B17" s="87" t="s">
        <v>64</v>
      </c>
      <c r="C17" s="24"/>
      <c r="D17" s="24"/>
      <c r="E17" s="24"/>
      <c r="F17" s="92">
        <f>F15-F16</f>
        <v>1200000</v>
      </c>
      <c r="H17" s="106" t="s">
        <v>94</v>
      </c>
    </row>
    <row r="18" spans="2:8" ht="16.5" customHeight="1" x14ac:dyDescent="0.25">
      <c r="B18" s="87" t="s">
        <v>79</v>
      </c>
      <c r="C18" s="24"/>
      <c r="D18" s="24"/>
      <c r="E18" s="24"/>
      <c r="F18" s="93">
        <f>IF(F17&lt;=50000000,5%*F17,IF(F17&lt;250000000,5%*50000000+15%*(F17-50000000),IF(F17&lt;=500000000,5%*50000000+(15%*200000000)+25%*(F17-250000000),5%*50000000+15%*200000000+25%*250000000+30%*(F17-500000000))))</f>
        <v>60000</v>
      </c>
      <c r="H18" s="106" t="s">
        <v>95</v>
      </c>
    </row>
    <row r="19" spans="2:8" ht="16.5" customHeight="1" x14ac:dyDescent="0.25">
      <c r="B19" s="87" t="s">
        <v>86</v>
      </c>
      <c r="C19" s="24"/>
      <c r="D19" s="24"/>
      <c r="E19" s="24"/>
      <c r="F19" s="90">
        <f>F18/12</f>
        <v>5000</v>
      </c>
    </row>
    <row r="20" spans="2:8" ht="19.5" customHeight="1" x14ac:dyDescent="0.25">
      <c r="F20" s="2"/>
    </row>
    <row r="21" spans="2:8" ht="16.5" customHeight="1" x14ac:dyDescent="0.25">
      <c r="C21" s="83" t="s">
        <v>80</v>
      </c>
      <c r="D21" s="33" t="s">
        <v>69</v>
      </c>
      <c r="E21" s="75" t="s">
        <v>70</v>
      </c>
      <c r="F21" s="75" t="s">
        <v>71</v>
      </c>
    </row>
    <row r="22" spans="2:8" ht="16.5" customHeight="1" x14ac:dyDescent="0.25">
      <c r="D22" s="76">
        <v>0.05</v>
      </c>
      <c r="E22" s="77">
        <f>IF(F17&lt;50000000,F17,50000000)</f>
        <v>1200000</v>
      </c>
      <c r="F22" s="77">
        <f>IF(E22=0,0,D22*E22)</f>
        <v>60000</v>
      </c>
    </row>
    <row r="23" spans="2:8" ht="16.5" customHeight="1" x14ac:dyDescent="0.25">
      <c r="D23" s="78">
        <v>0.15</v>
      </c>
      <c r="E23" s="79">
        <f>IF(F17&lt;=50000000,0,IF(F17&lt;=250000000,F17-E22,200000000))</f>
        <v>0</v>
      </c>
      <c r="F23" s="32">
        <f>IF(E23=0,0,D23*E23)</f>
        <v>0</v>
      </c>
    </row>
    <row r="24" spans="2:8" x14ac:dyDescent="0.25">
      <c r="D24" s="78">
        <v>0.25</v>
      </c>
      <c r="E24" s="79">
        <f>IF(F17&lt;=250000000,0,IF(F17&lt;=500000000,F17-SUM(E22:E23),250000000))</f>
        <v>0</v>
      </c>
      <c r="F24" s="32">
        <f>IF(E24=0,0,D24*E24)</f>
        <v>0</v>
      </c>
    </row>
    <row r="25" spans="2:8" x14ac:dyDescent="0.25">
      <c r="D25" s="80">
        <v>0.3</v>
      </c>
      <c r="E25" s="81">
        <f>IF(F17&lt;500000000,0,F17-SUM(E22:E24))</f>
        <v>0</v>
      </c>
      <c r="F25" s="82">
        <f>IF(E25=0,0,D25*E25)</f>
        <v>0</v>
      </c>
    </row>
    <row r="26" spans="2:8" x14ac:dyDescent="0.25">
      <c r="D26" s="130" t="s">
        <v>79</v>
      </c>
      <c r="E26" s="130"/>
      <c r="F26" s="21">
        <f>SUM(F22:F25)</f>
        <v>60000</v>
      </c>
    </row>
    <row r="27" spans="2:8" ht="15" customHeight="1" x14ac:dyDescent="0.25">
      <c r="D27" s="130" t="s">
        <v>86</v>
      </c>
      <c r="E27" s="130"/>
      <c r="F27" s="21">
        <f>F26/12</f>
        <v>5000</v>
      </c>
    </row>
    <row r="28" spans="2:8" ht="19.5" customHeight="1" x14ac:dyDescent="0.25"/>
  </sheetData>
  <mergeCells count="2">
    <mergeCell ref="D26:E26"/>
    <mergeCell ref="D27:E27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3" name="Scroll Bar 1">
              <controlPr defaultSize="0" autoPict="0">
                <anchor moveWithCells="1">
                  <from>
                    <xdr:col>4</xdr:col>
                    <xdr:colOff>257175</xdr:colOff>
                    <xdr:row>5</xdr:row>
                    <xdr:rowOff>19050</xdr:rowOff>
                  </from>
                  <to>
                    <xdr:col>4</xdr:col>
                    <xdr:colOff>742950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4" name="Scroll Bar 2">
              <controlPr defaultSize="0" autoPict="0">
                <anchor moveWithCells="1">
                  <from>
                    <xdr:col>2</xdr:col>
                    <xdr:colOff>1323975</xdr:colOff>
                    <xdr:row>11</xdr:row>
                    <xdr:rowOff>19050</xdr:rowOff>
                  </from>
                  <to>
                    <xdr:col>3</xdr:col>
                    <xdr:colOff>485775</xdr:colOff>
                    <xdr:row>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5" name="Scroll Bar 3">
              <controlPr defaultSize="0" autoPict="0">
                <anchor moveWithCells="1">
                  <from>
                    <xdr:col>4</xdr:col>
                    <xdr:colOff>257175</xdr:colOff>
                    <xdr:row>4</xdr:row>
                    <xdr:rowOff>28575</xdr:rowOff>
                  </from>
                  <to>
                    <xdr:col>4</xdr:col>
                    <xdr:colOff>742950</xdr:colOff>
                    <xdr:row>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6" name="Scroll Bar 4">
              <controlPr defaultSize="0" autoPict="0">
                <anchor moveWithCells="1">
                  <from>
                    <xdr:col>4</xdr:col>
                    <xdr:colOff>257175</xdr:colOff>
                    <xdr:row>6</xdr:row>
                    <xdr:rowOff>9525</xdr:rowOff>
                  </from>
                  <to>
                    <xdr:col>4</xdr:col>
                    <xdr:colOff>742950</xdr:colOff>
                    <xdr:row>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7" name="Scroll Bar 5">
              <controlPr defaultSize="0" autoPict="0">
                <anchor moveWithCells="1">
                  <from>
                    <xdr:col>4</xdr:col>
                    <xdr:colOff>257175</xdr:colOff>
                    <xdr:row>7</xdr:row>
                    <xdr:rowOff>0</xdr:rowOff>
                  </from>
                  <to>
                    <xdr:col>4</xdr:col>
                    <xdr:colOff>742950</xdr:colOff>
                    <xdr:row>7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2"/>
  <sheetViews>
    <sheetView showGridLines="0" workbookViewId="0">
      <selection activeCell="F4" sqref="F4"/>
    </sheetView>
  </sheetViews>
  <sheetFormatPr defaultRowHeight="15" x14ac:dyDescent="0.25"/>
  <cols>
    <col min="1" max="1" width="5.85546875" style="1" customWidth="1"/>
    <col min="2" max="3" width="9.140625" style="1"/>
    <col min="4" max="4" width="7.28515625" style="1" customWidth="1"/>
    <col min="5" max="5" width="12.42578125" style="1" customWidth="1"/>
    <col min="6" max="6" width="13.5703125" style="1" customWidth="1"/>
    <col min="7" max="7" width="5.85546875" style="1" customWidth="1"/>
    <col min="8" max="16384" width="9.140625" style="1"/>
  </cols>
  <sheetData>
    <row r="1" spans="1:6" ht="19.5" customHeight="1" x14ac:dyDescent="0.25">
      <c r="E1" s="69"/>
    </row>
    <row r="2" spans="1:6" ht="18.75" x14ac:dyDescent="0.25">
      <c r="B2" s="4" t="s">
        <v>76</v>
      </c>
    </row>
    <row r="3" spans="1:6" ht="18" customHeight="1" x14ac:dyDescent="0.25">
      <c r="A3" s="17">
        <v>600</v>
      </c>
      <c r="B3" s="56" t="s">
        <v>64</v>
      </c>
      <c r="C3" s="64"/>
      <c r="D3" s="64"/>
      <c r="E3" s="64"/>
      <c r="F3" s="65">
        <f>A3*1000000</f>
        <v>600000000</v>
      </c>
    </row>
    <row r="4" spans="1:6" ht="16.5" customHeight="1" x14ac:dyDescent="0.25">
      <c r="B4" s="136" t="s">
        <v>68</v>
      </c>
      <c r="C4" s="136"/>
      <c r="D4" s="136"/>
      <c r="E4" s="136"/>
      <c r="F4" s="20">
        <f>IF(F3&lt;=50000000,5%*F3,IF(F3&lt;250000000,5%*50000000+15%*(F3-50000000),IF(F3&lt;=500000000,5%*50000000+(15%*200000000)+25%*(F3-250000000),5%*50000000+15%*200000000+25%*250000000+30%*(F3-500000000))))</f>
        <v>125000000</v>
      </c>
    </row>
    <row r="6" spans="1:6" x14ac:dyDescent="0.25">
      <c r="C6" s="83" t="s">
        <v>77</v>
      </c>
      <c r="D6" s="33" t="s">
        <v>69</v>
      </c>
      <c r="E6" s="75" t="s">
        <v>70</v>
      </c>
      <c r="F6" s="75" t="s">
        <v>71</v>
      </c>
    </row>
    <row r="7" spans="1:6" x14ac:dyDescent="0.25">
      <c r="D7" s="76">
        <v>0.05</v>
      </c>
      <c r="E7" s="84">
        <f>IF(F3&lt;50000000,F3,50000000)</f>
        <v>50000000</v>
      </c>
      <c r="F7" s="84">
        <f>IF(E7=0,0,D7*E7)</f>
        <v>2500000</v>
      </c>
    </row>
    <row r="8" spans="1:6" ht="15" customHeight="1" x14ac:dyDescent="0.25">
      <c r="D8" s="78">
        <v>0.15</v>
      </c>
      <c r="E8" s="32">
        <f>IF(F3&lt;=50000000,0,IF(F3&lt;=250000000,F3-E7,200000000))</f>
        <v>200000000</v>
      </c>
      <c r="F8" s="32">
        <f>IF(E8=0,0,D8*E8)</f>
        <v>30000000</v>
      </c>
    </row>
    <row r="9" spans="1:6" x14ac:dyDescent="0.25">
      <c r="D9" s="78">
        <v>0.25</v>
      </c>
      <c r="E9" s="32">
        <f>IF(F3&lt;=250000000,0,IF(F3&lt;=500000000,F3-SUM(E7:E8),250000000))</f>
        <v>250000000</v>
      </c>
      <c r="F9" s="32">
        <f>IF(E9=0,0,D9*E9)</f>
        <v>62500000</v>
      </c>
    </row>
    <row r="10" spans="1:6" x14ac:dyDescent="0.25">
      <c r="D10" s="80">
        <v>0.3</v>
      </c>
      <c r="E10" s="82">
        <f>IF(F3&lt;500000000,0,F3-SUM(E7:E9))</f>
        <v>100000000</v>
      </c>
      <c r="F10" s="82">
        <f>IF(E10=0,0,D10*E10)</f>
        <v>30000000</v>
      </c>
    </row>
    <row r="11" spans="1:6" x14ac:dyDescent="0.25">
      <c r="D11" s="130" t="s">
        <v>75</v>
      </c>
      <c r="E11" s="130"/>
      <c r="F11" s="20">
        <f>SUM(F7:F10)</f>
        <v>125000000</v>
      </c>
    </row>
    <row r="12" spans="1:6" ht="19.5" customHeight="1" x14ac:dyDescent="0.25"/>
  </sheetData>
  <mergeCells count="2">
    <mergeCell ref="B4:E4"/>
    <mergeCell ref="D11:E11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3" name="Scroll Bar 1">
              <controlPr defaultSize="0" autoPict="0">
                <anchor moveWithCells="1">
                  <from>
                    <xdr:col>4</xdr:col>
                    <xdr:colOff>257175</xdr:colOff>
                    <xdr:row>2</xdr:row>
                    <xdr:rowOff>28575</xdr:rowOff>
                  </from>
                  <to>
                    <xdr:col>4</xdr:col>
                    <xdr:colOff>742950</xdr:colOff>
                    <xdr:row>2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5"/>
  <sheetViews>
    <sheetView showGridLines="0" zoomScale="96" zoomScaleNormal="96" workbookViewId="0">
      <selection activeCell="F4" sqref="F4"/>
    </sheetView>
  </sheetViews>
  <sheetFormatPr defaultRowHeight="15" x14ac:dyDescent="0.25"/>
  <cols>
    <col min="1" max="1" width="5.85546875" style="1" customWidth="1"/>
    <col min="2" max="2" width="6.7109375" style="1" customWidth="1"/>
    <col min="3" max="3" width="19.5703125" style="1" customWidth="1"/>
    <col min="4" max="4" width="7.85546875" style="1" customWidth="1"/>
    <col min="5" max="5" width="12.28515625" style="1" customWidth="1"/>
    <col min="6" max="6" width="13.28515625" style="1" bestFit="1" customWidth="1"/>
    <col min="7" max="7" width="5.85546875" style="1" customWidth="1"/>
    <col min="8" max="16384" width="9.140625" style="1"/>
  </cols>
  <sheetData>
    <row r="1" spans="1:6" ht="19.5" customHeight="1" x14ac:dyDescent="0.25"/>
    <row r="2" spans="1:6" ht="18.75" x14ac:dyDescent="0.25">
      <c r="B2" s="4" t="s">
        <v>78</v>
      </c>
    </row>
    <row r="3" spans="1:6" ht="15.75" x14ac:dyDescent="0.25">
      <c r="B3" s="5" t="str">
        <f>"Pilihan Penghasilan : "&amp;F4</f>
        <v>Pilihan Penghasilan : Tahunan</v>
      </c>
    </row>
    <row r="4" spans="1:6" ht="16.5" customHeight="1" x14ac:dyDescent="0.25">
      <c r="A4" s="17">
        <v>2</v>
      </c>
      <c r="B4" s="6" t="s">
        <v>87</v>
      </c>
      <c r="C4" s="7"/>
      <c r="D4" s="7"/>
      <c r="E4" s="45"/>
      <c r="F4" s="85" t="str">
        <f>IF(A4=1,"Bulanan","Tahunan")</f>
        <v>Tahunan</v>
      </c>
    </row>
    <row r="5" spans="1:6" ht="16.5" customHeight="1" x14ac:dyDescent="0.25">
      <c r="A5" s="17"/>
      <c r="B5" s="6" t="s">
        <v>7</v>
      </c>
      <c r="C5" s="7"/>
      <c r="D5" s="7"/>
      <c r="E5" s="45"/>
      <c r="F5" s="37"/>
    </row>
    <row r="6" spans="1:6" ht="16.5" customHeight="1" x14ac:dyDescent="0.25">
      <c r="A6" s="17">
        <v>8</v>
      </c>
      <c r="B6" s="6" t="s">
        <v>8</v>
      </c>
      <c r="C6" s="7"/>
      <c r="D6" s="7"/>
      <c r="E6" s="45"/>
      <c r="F6" s="85" t="str">
        <f>VLOOKUP(A6,STATUS,2)</f>
        <v>K/3</v>
      </c>
    </row>
    <row r="7" spans="1:6" ht="16.5" customHeight="1" x14ac:dyDescent="0.25">
      <c r="A7" s="17">
        <v>1000</v>
      </c>
      <c r="B7" s="6" t="str">
        <f>"Penghasilan Bruto "&amp;IF(A4=1,"Sebulan"," Setahun")</f>
        <v>Penghasilan Bruto  Setahun</v>
      </c>
      <c r="C7" s="7"/>
      <c r="D7" s="7"/>
      <c r="E7" s="45"/>
      <c r="F7" s="86">
        <f>IF(A4=1,A7*10000,A7*10000*12)</f>
        <v>120000000</v>
      </c>
    </row>
    <row r="8" spans="1:6" ht="16.5" customHeight="1" x14ac:dyDescent="0.25">
      <c r="A8" s="17"/>
      <c r="B8" s="87" t="s">
        <v>61</v>
      </c>
      <c r="C8" s="24"/>
      <c r="D8" s="24"/>
      <c r="E8" s="24"/>
      <c r="F8" s="24"/>
    </row>
    <row r="9" spans="1:6" ht="16.5" customHeight="1" x14ac:dyDescent="0.25">
      <c r="A9" s="17"/>
      <c r="B9" s="24"/>
      <c r="C9" s="24" t="s">
        <v>4</v>
      </c>
      <c r="D9" s="24"/>
      <c r="E9" s="88">
        <f>IF(A4=1,IF(5%*F7&gt;500000,500000,5%*F7),IF(5%*F7&gt;500000*12,500000*12,5%*F7))</f>
        <v>6000000</v>
      </c>
      <c r="F9" s="24"/>
    </row>
    <row r="10" spans="1:6" ht="16.5" customHeight="1" x14ac:dyDescent="0.25">
      <c r="A10" s="17">
        <v>500</v>
      </c>
      <c r="B10" s="24"/>
      <c r="C10" s="24" t="s">
        <v>62</v>
      </c>
      <c r="D10" s="24"/>
      <c r="E10" s="89">
        <f>IF(A4=1,A10*100,A10*100*12)</f>
        <v>600000</v>
      </c>
      <c r="F10" s="23"/>
    </row>
    <row r="11" spans="1:6" ht="16.5" customHeight="1" x14ac:dyDescent="0.25">
      <c r="B11" s="24"/>
      <c r="C11" s="24"/>
      <c r="D11" s="24"/>
      <c r="E11" s="24"/>
      <c r="F11" s="90">
        <f>SUM(E9:E10)</f>
        <v>6600000</v>
      </c>
    </row>
    <row r="12" spans="1:6" ht="16.5" customHeight="1" x14ac:dyDescent="0.25">
      <c r="B12" s="87" t="str">
        <f>IF(A4=1,"Penghasilan Neto Disetahunkan","Penghasilan Neto Setahun")</f>
        <v>Penghasilan Neto Setahun</v>
      </c>
      <c r="C12" s="24"/>
      <c r="D12" s="24"/>
      <c r="E12" s="24"/>
      <c r="F12" s="88">
        <f>IF(A4=1,(F7-F11)*12,F7-F11)</f>
        <v>113400000</v>
      </c>
    </row>
    <row r="13" spans="1:6" ht="16.5" customHeight="1" x14ac:dyDescent="0.25">
      <c r="B13" s="91" t="str">
        <f>"Penghasilan Tidak Kena Pajak - "&amp;F6</f>
        <v>Penghasilan Tidak Kena Pajak - K/3</v>
      </c>
      <c r="C13" s="24"/>
      <c r="D13" s="24"/>
      <c r="E13" s="24"/>
      <c r="F13" s="90">
        <f>VLOOKUP(A6,PTKP,6)</f>
        <v>72000000</v>
      </c>
    </row>
    <row r="14" spans="1:6" ht="16.5" customHeight="1" x14ac:dyDescent="0.25">
      <c r="B14" s="87" t="s">
        <v>64</v>
      </c>
      <c r="C14" s="24"/>
      <c r="D14" s="24"/>
      <c r="E14" s="24"/>
      <c r="F14" s="88">
        <f>F12-F13</f>
        <v>41400000</v>
      </c>
    </row>
    <row r="15" spans="1:6" ht="16.5" customHeight="1" x14ac:dyDescent="0.25">
      <c r="B15" s="87" t="s">
        <v>79</v>
      </c>
      <c r="C15" s="24"/>
      <c r="D15" s="24"/>
      <c r="E15" s="24"/>
      <c r="F15" s="94">
        <f>IF(F14&lt;=50000000,5%*F14,IF(F14&lt;250000000,5%*50000000+15%*(F14-50000000),IF(F14&lt;=500000000,5%*50000000+(15%*200000000)+25%*(F14-250000000),5%*50000000+15%*200000000+25%*250000000+30%*(F14-500000000))))</f>
        <v>2070000</v>
      </c>
    </row>
    <row r="16" spans="1:6" ht="16.5" customHeight="1" x14ac:dyDescent="0.25">
      <c r="B16" s="87" t="s">
        <v>86</v>
      </c>
      <c r="C16" s="24"/>
      <c r="D16" s="24"/>
      <c r="E16" s="24"/>
      <c r="F16" s="90">
        <f>F15/12</f>
        <v>172500</v>
      </c>
    </row>
    <row r="17" spans="3:6" ht="15" customHeight="1" x14ac:dyDescent="0.25">
      <c r="F17" s="2"/>
    </row>
    <row r="18" spans="3:6" ht="16.5" customHeight="1" x14ac:dyDescent="0.25">
      <c r="C18" s="83" t="s">
        <v>80</v>
      </c>
      <c r="D18" s="126" t="s">
        <v>69</v>
      </c>
      <c r="E18" s="75" t="s">
        <v>70</v>
      </c>
      <c r="F18" s="75" t="s">
        <v>71</v>
      </c>
    </row>
    <row r="19" spans="3:6" ht="16.5" customHeight="1" x14ac:dyDescent="0.25">
      <c r="D19" s="76">
        <v>0.05</v>
      </c>
      <c r="E19" s="77">
        <f>IF(F14&lt;50000000,F14,50000000)</f>
        <v>41400000</v>
      </c>
      <c r="F19" s="77">
        <f>IF(E19=0,0,D19*E19)</f>
        <v>2070000</v>
      </c>
    </row>
    <row r="20" spans="3:6" ht="16.5" customHeight="1" x14ac:dyDescent="0.25">
      <c r="D20" s="78">
        <v>0.15</v>
      </c>
      <c r="E20" s="79">
        <f>IF(F14&lt;=50000000,0,IF(F14&lt;=250000000,F14-E19,200000000))</f>
        <v>0</v>
      </c>
      <c r="F20" s="32">
        <f>IF(E20=0,0,D20*E20)</f>
        <v>0</v>
      </c>
    </row>
    <row r="21" spans="3:6" x14ac:dyDescent="0.25">
      <c r="D21" s="78">
        <v>0.25</v>
      </c>
      <c r="E21" s="79">
        <f>IF(F14&lt;=250000000,0,IF(F14&lt;=500000000,F14-SUM(E19:E20),250000000))</f>
        <v>0</v>
      </c>
      <c r="F21" s="32">
        <f>IF(E21=0,0,D21*E21)</f>
        <v>0</v>
      </c>
    </row>
    <row r="22" spans="3:6" x14ac:dyDescent="0.25">
      <c r="D22" s="80">
        <v>0.3</v>
      </c>
      <c r="E22" s="81">
        <f>IF(F14&lt;500000000,0,F14-SUM(E19:E21))</f>
        <v>0</v>
      </c>
      <c r="F22" s="82">
        <f>IF(E22=0,0,D22*E22)</f>
        <v>0</v>
      </c>
    </row>
    <row r="23" spans="3:6" x14ac:dyDescent="0.25">
      <c r="D23" s="130" t="s">
        <v>79</v>
      </c>
      <c r="E23" s="130"/>
      <c r="F23" s="21">
        <f>SUM(F19:F22)</f>
        <v>2070000</v>
      </c>
    </row>
    <row r="24" spans="3:6" ht="15.75" customHeight="1" x14ac:dyDescent="0.25">
      <c r="D24" s="130" t="s">
        <v>86</v>
      </c>
      <c r="E24" s="130"/>
      <c r="F24" s="21">
        <f>F23/12</f>
        <v>172500</v>
      </c>
    </row>
    <row r="25" spans="3:6" ht="19.5" customHeight="1" x14ac:dyDescent="0.25"/>
  </sheetData>
  <mergeCells count="2">
    <mergeCell ref="D23:E23"/>
    <mergeCell ref="D24:E24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6865" r:id="rId3" name="Scroll Bar 1">
              <controlPr defaultSize="0" autoPict="0">
                <anchor moveWithCells="1">
                  <from>
                    <xdr:col>4</xdr:col>
                    <xdr:colOff>257175</xdr:colOff>
                    <xdr:row>6</xdr:row>
                    <xdr:rowOff>9525</xdr:rowOff>
                  </from>
                  <to>
                    <xdr:col>4</xdr:col>
                    <xdr:colOff>742950</xdr:colOff>
                    <xdr:row>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6" r:id="rId4" name="Scroll Bar 2">
              <controlPr defaultSize="0" autoPict="0">
                <anchor moveWithCells="1">
                  <from>
                    <xdr:col>2</xdr:col>
                    <xdr:colOff>1323975</xdr:colOff>
                    <xdr:row>9</xdr:row>
                    <xdr:rowOff>19050</xdr:rowOff>
                  </from>
                  <to>
                    <xdr:col>3</xdr:col>
                    <xdr:colOff>485775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7" r:id="rId5" name="Scroll Bar 3">
              <controlPr defaultSize="0" autoPict="0">
                <anchor moveWithCells="1">
                  <from>
                    <xdr:col>4</xdr:col>
                    <xdr:colOff>257175</xdr:colOff>
                    <xdr:row>5</xdr:row>
                    <xdr:rowOff>19050</xdr:rowOff>
                  </from>
                  <to>
                    <xdr:col>4</xdr:col>
                    <xdr:colOff>742950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8" r:id="rId6" name="Scroll Bar 4">
              <controlPr defaultSize="0" autoPict="0">
                <anchor moveWithCells="1">
                  <from>
                    <xdr:col>4</xdr:col>
                    <xdr:colOff>257175</xdr:colOff>
                    <xdr:row>3</xdr:row>
                    <xdr:rowOff>19050</xdr:rowOff>
                  </from>
                  <to>
                    <xdr:col>4</xdr:col>
                    <xdr:colOff>742950</xdr:colOff>
                    <xdr:row>3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6"/>
  <sheetViews>
    <sheetView showGridLines="0" workbookViewId="0">
      <selection activeCell="E14" sqref="E14"/>
    </sheetView>
  </sheetViews>
  <sheetFormatPr defaultRowHeight="15" x14ac:dyDescent="0.25"/>
  <cols>
    <col min="1" max="1" width="5.85546875" style="1" customWidth="1"/>
    <col min="2" max="2" width="6.5703125" style="1" customWidth="1"/>
    <col min="3" max="3" width="9.140625" style="1"/>
    <col min="4" max="4" width="18.140625" style="1" customWidth="1"/>
    <col min="5" max="5" width="7.7109375" style="1" customWidth="1"/>
    <col min="6" max="6" width="6.42578125" style="1" customWidth="1"/>
    <col min="7" max="7" width="34" style="1" customWidth="1"/>
    <col min="8" max="8" width="18.42578125" style="1" customWidth="1"/>
    <col min="9" max="9" width="5.85546875" style="1" customWidth="1"/>
    <col min="10" max="16384" width="9.140625" style="1"/>
  </cols>
  <sheetData>
    <row r="1" spans="1:8" ht="19.5" customHeight="1" x14ac:dyDescent="0.25"/>
    <row r="2" spans="1:8" ht="18.75" x14ac:dyDescent="0.25">
      <c r="B2" s="4" t="s">
        <v>43</v>
      </c>
    </row>
    <row r="3" spans="1:8" x14ac:dyDescent="0.25">
      <c r="B3" s="33" t="s">
        <v>26</v>
      </c>
      <c r="C3" s="34" t="s">
        <v>27</v>
      </c>
      <c r="D3" s="131" t="s">
        <v>44</v>
      </c>
      <c r="E3" s="131"/>
      <c r="F3" s="131"/>
      <c r="G3" s="131"/>
    </row>
    <row r="4" spans="1:8" x14ac:dyDescent="0.25">
      <c r="B4" s="15">
        <v>1</v>
      </c>
      <c r="C4" s="35" t="s">
        <v>34</v>
      </c>
      <c r="D4" s="36" t="s">
        <v>45</v>
      </c>
      <c r="E4" s="37"/>
      <c r="F4" s="37"/>
      <c r="G4" s="37"/>
    </row>
    <row r="5" spans="1:8" x14ac:dyDescent="0.25">
      <c r="B5" s="15">
        <v>2</v>
      </c>
      <c r="C5" s="35" t="s">
        <v>35</v>
      </c>
      <c r="D5" s="36" t="s">
        <v>46</v>
      </c>
      <c r="E5" s="37"/>
      <c r="F5" s="37"/>
      <c r="G5" s="37"/>
    </row>
    <row r="6" spans="1:8" x14ac:dyDescent="0.25">
      <c r="B6" s="15">
        <v>3</v>
      </c>
      <c r="C6" s="35" t="s">
        <v>36</v>
      </c>
      <c r="D6" s="36" t="s">
        <v>47</v>
      </c>
      <c r="E6" s="37"/>
      <c r="F6" s="37"/>
      <c r="G6" s="37"/>
    </row>
    <row r="7" spans="1:8" x14ac:dyDescent="0.25">
      <c r="B7" s="15">
        <v>4</v>
      </c>
      <c r="C7" s="35" t="s">
        <v>37</v>
      </c>
      <c r="D7" s="36" t="s">
        <v>48</v>
      </c>
      <c r="E7" s="37"/>
      <c r="F7" s="37"/>
      <c r="G7" s="37"/>
    </row>
    <row r="8" spans="1:8" x14ac:dyDescent="0.25">
      <c r="B8" s="15">
        <v>5</v>
      </c>
      <c r="C8" s="35" t="s">
        <v>38</v>
      </c>
      <c r="D8" s="36" t="s">
        <v>49</v>
      </c>
      <c r="E8" s="37"/>
      <c r="F8" s="37"/>
      <c r="G8" s="37"/>
    </row>
    <row r="9" spans="1:8" x14ac:dyDescent="0.25">
      <c r="B9" s="15">
        <v>6</v>
      </c>
      <c r="C9" s="35" t="s">
        <v>39</v>
      </c>
      <c r="D9" s="36" t="s">
        <v>50</v>
      </c>
      <c r="E9" s="37"/>
      <c r="F9" s="37"/>
      <c r="G9" s="37"/>
    </row>
    <row r="10" spans="1:8" x14ac:dyDescent="0.25">
      <c r="B10" s="15">
        <v>7</v>
      </c>
      <c r="C10" s="35" t="s">
        <v>40</v>
      </c>
      <c r="D10" s="36" t="s">
        <v>51</v>
      </c>
      <c r="E10" s="37"/>
      <c r="F10" s="37"/>
      <c r="G10" s="37"/>
    </row>
    <row r="11" spans="1:8" x14ac:dyDescent="0.25">
      <c r="B11" s="15">
        <v>8</v>
      </c>
      <c r="C11" s="35" t="s">
        <v>41</v>
      </c>
      <c r="D11" s="36" t="s">
        <v>52</v>
      </c>
      <c r="E11" s="37"/>
      <c r="F11" s="37"/>
      <c r="G11" s="37"/>
    </row>
    <row r="12" spans="1:8" x14ac:dyDescent="0.25">
      <c r="B12" s="38" t="s">
        <v>53</v>
      </c>
      <c r="C12" s="39"/>
      <c r="D12" s="40"/>
      <c r="E12" s="41"/>
      <c r="F12" s="41"/>
      <c r="G12" s="41"/>
      <c r="H12" s="41"/>
    </row>
    <row r="14" spans="1:8" ht="18" customHeight="1" x14ac:dyDescent="0.25">
      <c r="A14" s="17">
        <v>5</v>
      </c>
      <c r="B14" s="42" t="s">
        <v>54</v>
      </c>
      <c r="C14" s="43"/>
      <c r="D14" s="43"/>
      <c r="E14" s="44" t="str">
        <f>VLOOKUP(A14,ARTI,2)</f>
        <v>K/-</v>
      </c>
      <c r="G14" s="10"/>
    </row>
    <row r="15" spans="1:8" ht="20.25" customHeight="1" x14ac:dyDescent="0.25">
      <c r="E15" s="132" t="str">
        <f>VLOOKUP(A14,ARTI,3)</f>
        <v>Kawin (menikah) dan tidak memiliki tanggungan keluarga</v>
      </c>
      <c r="F15" s="132"/>
      <c r="G15" s="132"/>
      <c r="H15" s="132"/>
    </row>
    <row r="16" spans="1:8" ht="19.5" customHeight="1" x14ac:dyDescent="0.25"/>
  </sheetData>
  <mergeCells count="2">
    <mergeCell ref="D3:G3"/>
    <mergeCell ref="E15:H15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3" name="Scroll Bar 1">
              <controlPr defaultSize="0" autoPict="0">
                <anchor moveWithCells="1">
                  <from>
                    <xdr:col>3</xdr:col>
                    <xdr:colOff>590550</xdr:colOff>
                    <xdr:row>13</xdr:row>
                    <xdr:rowOff>28575</xdr:rowOff>
                  </from>
                  <to>
                    <xdr:col>3</xdr:col>
                    <xdr:colOff>1076325</xdr:colOff>
                    <xdr:row>13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14"/>
  <sheetViews>
    <sheetView showGridLines="0" workbookViewId="0">
      <selection activeCell="D13" sqref="D13"/>
    </sheetView>
  </sheetViews>
  <sheetFormatPr defaultRowHeight="15" x14ac:dyDescent="0.25"/>
  <cols>
    <col min="1" max="1" width="5.85546875" style="1" customWidth="1"/>
    <col min="2" max="2" width="9.140625" style="1"/>
    <col min="3" max="3" width="30.7109375" style="1" customWidth="1"/>
    <col min="4" max="4" width="12.5703125" style="1" customWidth="1"/>
    <col min="5" max="5" width="5.85546875" style="1" customWidth="1"/>
    <col min="6" max="16384" width="9.140625" style="1"/>
  </cols>
  <sheetData>
    <row r="1" spans="1:4" ht="19.5" customHeight="1" x14ac:dyDescent="0.25"/>
    <row r="2" spans="1:4" ht="18.75" x14ac:dyDescent="0.25">
      <c r="B2" s="4" t="s">
        <v>11</v>
      </c>
    </row>
    <row r="3" spans="1:4" ht="16.5" customHeight="1" x14ac:dyDescent="0.25">
      <c r="A3" s="110">
        <v>6000</v>
      </c>
      <c r="B3" s="6" t="s">
        <v>12</v>
      </c>
      <c r="C3" s="7"/>
      <c r="D3" s="27">
        <f>A3*1000</f>
        <v>6000000</v>
      </c>
    </row>
    <row r="4" spans="1:4" ht="6.75" customHeight="1" x14ac:dyDescent="0.25">
      <c r="A4" s="17"/>
    </row>
    <row r="5" spans="1:4" ht="16.5" customHeight="1" x14ac:dyDescent="0.25">
      <c r="A5" s="17">
        <v>75</v>
      </c>
      <c r="B5" s="133" t="s">
        <v>96</v>
      </c>
      <c r="C5" s="133"/>
      <c r="D5" s="109">
        <f>A5/100</f>
        <v>0.75</v>
      </c>
    </row>
    <row r="6" spans="1:4" ht="16.5" customHeight="1" x14ac:dyDescent="0.25">
      <c r="A6" s="17">
        <v>60</v>
      </c>
      <c r="B6" s="6" t="s">
        <v>0</v>
      </c>
      <c r="C6" s="7"/>
      <c r="D6" s="27">
        <f t="shared" ref="D6:D7" si="0">A6*1000</f>
        <v>60000</v>
      </c>
    </row>
    <row r="7" spans="1:4" ht="16.5" customHeight="1" x14ac:dyDescent="0.25">
      <c r="A7" s="17">
        <v>50</v>
      </c>
      <c r="B7" s="56" t="s">
        <v>1</v>
      </c>
      <c r="C7" s="64"/>
      <c r="D7" s="27">
        <f t="shared" si="0"/>
        <v>50000</v>
      </c>
    </row>
    <row r="9" spans="1:4" x14ac:dyDescent="0.25">
      <c r="B9" s="115" t="s">
        <v>2</v>
      </c>
    </row>
    <row r="10" spans="1:4" x14ac:dyDescent="0.25">
      <c r="B10" s="6" t="s">
        <v>12</v>
      </c>
      <c r="C10" s="7"/>
      <c r="D10" s="112">
        <f>D3</f>
        <v>6000000</v>
      </c>
    </row>
    <row r="11" spans="1:4" x14ac:dyDescent="0.25">
      <c r="B11" s="6" t="s">
        <v>0</v>
      </c>
      <c r="C11" s="7"/>
      <c r="D11" s="112">
        <f>D$5*D6</f>
        <v>45000</v>
      </c>
    </row>
    <row r="12" spans="1:4" x14ac:dyDescent="0.25">
      <c r="B12" s="56" t="s">
        <v>1</v>
      </c>
      <c r="C12" s="64"/>
      <c r="D12" s="114">
        <f>D$5*D7</f>
        <v>37500</v>
      </c>
    </row>
    <row r="13" spans="1:4" x14ac:dyDescent="0.25">
      <c r="B13" s="97"/>
      <c r="C13" s="111" t="s">
        <v>97</v>
      </c>
      <c r="D13" s="113">
        <f>SUM(D10:D12)</f>
        <v>6082500</v>
      </c>
    </row>
    <row r="14" spans="1:4" ht="19.5" customHeight="1" x14ac:dyDescent="0.25"/>
  </sheetData>
  <mergeCells count="1">
    <mergeCell ref="B5:C5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Scroll Bar 1">
              <controlPr defaultSize="0" autoPict="0">
                <anchor moveWithCells="1">
                  <from>
                    <xdr:col>2</xdr:col>
                    <xdr:colOff>1457325</xdr:colOff>
                    <xdr:row>2</xdr:row>
                    <xdr:rowOff>19050</xdr:rowOff>
                  </from>
                  <to>
                    <xdr:col>2</xdr:col>
                    <xdr:colOff>1943100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4" name="Scroll Bar 2">
              <controlPr defaultSize="0" autoPict="0">
                <anchor moveWithCells="1">
                  <from>
                    <xdr:col>2</xdr:col>
                    <xdr:colOff>1457325</xdr:colOff>
                    <xdr:row>5</xdr:row>
                    <xdr:rowOff>19050</xdr:rowOff>
                  </from>
                  <to>
                    <xdr:col>2</xdr:col>
                    <xdr:colOff>1943100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5" name="Scroll Bar 3">
              <controlPr defaultSize="0" autoPict="0">
                <anchor moveWithCells="1">
                  <from>
                    <xdr:col>2</xdr:col>
                    <xdr:colOff>1457325</xdr:colOff>
                    <xdr:row>6</xdr:row>
                    <xdr:rowOff>9525</xdr:rowOff>
                  </from>
                  <to>
                    <xdr:col>2</xdr:col>
                    <xdr:colOff>1943100</xdr:colOff>
                    <xdr:row>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6" name="Scroll Bar 4">
              <controlPr defaultSize="0" autoPict="0">
                <anchor moveWithCells="1">
                  <from>
                    <xdr:col>2</xdr:col>
                    <xdr:colOff>1457325</xdr:colOff>
                    <xdr:row>4</xdr:row>
                    <xdr:rowOff>19050</xdr:rowOff>
                  </from>
                  <to>
                    <xdr:col>2</xdr:col>
                    <xdr:colOff>1943100</xdr:colOff>
                    <xdr:row>4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5"/>
  <sheetViews>
    <sheetView showGridLines="0" workbookViewId="0">
      <selection activeCell="F8" sqref="F8"/>
    </sheetView>
  </sheetViews>
  <sheetFormatPr defaultRowHeight="15" x14ac:dyDescent="0.25"/>
  <cols>
    <col min="1" max="1" width="5.85546875" style="1" customWidth="1"/>
    <col min="2" max="2" width="6.42578125" style="1" customWidth="1"/>
    <col min="3" max="3" width="12.85546875" style="1" customWidth="1"/>
    <col min="4" max="4" width="10.42578125" style="1" bestFit="1" customWidth="1"/>
    <col min="5" max="5" width="5.7109375" style="1" customWidth="1"/>
    <col min="6" max="6" width="12.140625" style="1" customWidth="1"/>
    <col min="7" max="7" width="19.28515625" style="1" customWidth="1"/>
    <col min="8" max="8" width="5.85546875" style="1" customWidth="1"/>
    <col min="9" max="16384" width="9.140625" style="1"/>
  </cols>
  <sheetData>
    <row r="1" spans="1:6" ht="19.5" customHeight="1" x14ac:dyDescent="0.25"/>
    <row r="2" spans="1:6" ht="18.75" x14ac:dyDescent="0.25">
      <c r="B2" s="4" t="s">
        <v>14</v>
      </c>
    </row>
    <row r="3" spans="1:6" x14ac:dyDescent="0.25">
      <c r="B3" s="6" t="s">
        <v>4</v>
      </c>
      <c r="C3" s="7"/>
      <c r="D3" s="19">
        <v>0.05</v>
      </c>
    </row>
    <row r="4" spans="1:6" x14ac:dyDescent="0.25">
      <c r="B4" s="6" t="s">
        <v>15</v>
      </c>
      <c r="C4" s="7"/>
      <c r="D4" s="11">
        <v>500000</v>
      </c>
    </row>
    <row r="5" spans="1:6" x14ac:dyDescent="0.25">
      <c r="B5" s="6" t="s">
        <v>16</v>
      </c>
      <c r="C5" s="7"/>
      <c r="D5" s="11">
        <f>D4*12</f>
        <v>6000000</v>
      </c>
    </row>
    <row r="7" spans="1:6" ht="16.5" customHeight="1" x14ac:dyDescent="0.25">
      <c r="A7" s="17">
        <v>10500</v>
      </c>
      <c r="B7" s="6" t="s">
        <v>65</v>
      </c>
      <c r="C7" s="7"/>
      <c r="D7" s="7"/>
      <c r="E7" s="7"/>
      <c r="F7" s="20">
        <f>A7*1000</f>
        <v>10500000</v>
      </c>
    </row>
    <row r="8" spans="1:6" x14ac:dyDescent="0.25">
      <c r="B8" s="6" t="s">
        <v>4</v>
      </c>
      <c r="C8" s="7"/>
      <c r="D8" s="7"/>
      <c r="E8" s="7"/>
      <c r="F8" s="21">
        <f>IF(D3*F7&lt;D4,D3*F7,D4)</f>
        <v>500000</v>
      </c>
    </row>
    <row r="9" spans="1:6" ht="6.75" customHeight="1" x14ac:dyDescent="0.25"/>
    <row r="10" spans="1:6" x14ac:dyDescent="0.25">
      <c r="C10" s="1" t="s">
        <v>17</v>
      </c>
      <c r="D10" s="1" t="str">
        <f>"5% x "&amp;TEXT(F7,"#.###")</f>
        <v>5% x 10.500.000</v>
      </c>
    </row>
    <row r="11" spans="1:6" x14ac:dyDescent="0.25">
      <c r="C11" s="3" t="s">
        <v>10</v>
      </c>
      <c r="D11" s="18">
        <f>5%*F7</f>
        <v>525000</v>
      </c>
      <c r="F11" s="22"/>
    </row>
    <row r="12" spans="1:6" ht="6.75" customHeight="1" x14ac:dyDescent="0.25"/>
    <row r="13" spans="1:6" x14ac:dyDescent="0.25">
      <c r="C13" s="1" t="s">
        <v>18</v>
      </c>
      <c r="D13" s="1" t="str">
        <f>IF(D11&gt;D4,"- diatas",IF(D11=D4,"- sama dengan ","- dibawah"))&amp;" nilai maksimal"</f>
        <v>- diatas nilai maksimal</v>
      </c>
    </row>
    <row r="14" spans="1:6" x14ac:dyDescent="0.25">
      <c r="D14" s="1" t="str">
        <f>"- sehingga biaya jabatan yang diperkenankan: "&amp;IF(D11&gt;D4,TEXT(D4,"#.###"),TEXT(5%*F7,"#.###"))</f>
        <v>- sehingga biaya jabatan yang diperkenankan: 500.000</v>
      </c>
    </row>
    <row r="15" spans="1:6" ht="19.5" customHeight="1" x14ac:dyDescent="0.25"/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Scroll Bar 1">
              <controlPr defaultSize="0" autoPict="0">
                <anchor moveWithCells="1">
                  <from>
                    <xdr:col>3</xdr:col>
                    <xdr:colOff>476250</xdr:colOff>
                    <xdr:row>6</xdr:row>
                    <xdr:rowOff>19050</xdr:rowOff>
                  </from>
                  <to>
                    <xdr:col>4</xdr:col>
                    <xdr:colOff>266700</xdr:colOff>
                    <xdr:row>6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E10"/>
  <sheetViews>
    <sheetView showGridLines="0" workbookViewId="0">
      <selection activeCell="D9" sqref="D9"/>
    </sheetView>
  </sheetViews>
  <sheetFormatPr defaultRowHeight="15" x14ac:dyDescent="0.25"/>
  <cols>
    <col min="1" max="1" width="5.85546875" style="1" customWidth="1"/>
    <col min="2" max="2" width="6" style="1" customWidth="1"/>
    <col min="3" max="3" width="28.85546875" style="1" customWidth="1"/>
    <col min="4" max="4" width="15" style="1" customWidth="1"/>
    <col min="5" max="5" width="5.85546875" style="1" customWidth="1"/>
    <col min="6" max="16384" width="9.140625" style="1"/>
  </cols>
  <sheetData>
    <row r="1" spans="2:5" ht="19.5" customHeight="1" x14ac:dyDescent="0.25"/>
    <row r="2" spans="2:5" ht="18.75" x14ac:dyDescent="0.25">
      <c r="B2" s="4" t="s">
        <v>19</v>
      </c>
    </row>
    <row r="3" spans="2:5" ht="16.5" customHeight="1" x14ac:dyDescent="0.25">
      <c r="B3" s="6" t="s">
        <v>98</v>
      </c>
      <c r="C3" s="7"/>
      <c r="D3" s="118">
        <f>E3*1000</f>
        <v>15000000</v>
      </c>
      <c r="E3" s="17">
        <v>15000</v>
      </c>
    </row>
    <row r="4" spans="2:5" ht="16.5" customHeight="1" x14ac:dyDescent="0.25">
      <c r="B4" s="6" t="s">
        <v>3</v>
      </c>
      <c r="C4" s="7"/>
      <c r="D4" s="119"/>
      <c r="E4" s="17"/>
    </row>
    <row r="5" spans="2:5" ht="16.5" customHeight="1" x14ac:dyDescent="0.25">
      <c r="B5" s="7"/>
      <c r="C5" s="7" t="s">
        <v>4</v>
      </c>
      <c r="D5" s="120">
        <f>IF(D3*5%&lt;=500000,5%*D3,500000)</f>
        <v>500000</v>
      </c>
      <c r="E5" s="17"/>
    </row>
    <row r="6" spans="2:5" ht="16.5" customHeight="1" x14ac:dyDescent="0.25">
      <c r="B6" s="7"/>
      <c r="C6" s="7" t="s">
        <v>20</v>
      </c>
      <c r="D6" s="118">
        <f>E6*1000</f>
        <v>200000</v>
      </c>
      <c r="E6" s="17">
        <v>200</v>
      </c>
    </row>
    <row r="7" spans="2:5" ht="16.5" customHeight="1" x14ac:dyDescent="0.25">
      <c r="B7" s="116"/>
      <c r="C7" s="117" t="s">
        <v>21</v>
      </c>
      <c r="D7" s="121">
        <f>SUM(D5:D6)</f>
        <v>700000</v>
      </c>
    </row>
    <row r="8" spans="2:5" ht="16.5" customHeight="1" x14ac:dyDescent="0.25">
      <c r="B8" s="25"/>
      <c r="C8" s="26" t="s">
        <v>5</v>
      </c>
      <c r="D8" s="120">
        <f>D3-D5-D6</f>
        <v>14300000</v>
      </c>
    </row>
    <row r="9" spans="2:5" x14ac:dyDescent="0.25">
      <c r="B9" s="25"/>
      <c r="C9" s="26" t="s">
        <v>6</v>
      </c>
      <c r="D9" s="120">
        <f>D8*12</f>
        <v>171600000</v>
      </c>
    </row>
    <row r="10" spans="2:5" ht="19.5" customHeight="1" x14ac:dyDescent="0.25"/>
  </sheetData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Scroll Bar 1">
              <controlPr defaultSize="0" autoPict="0">
                <anchor moveWithCells="1">
                  <from>
                    <xdr:col>2</xdr:col>
                    <xdr:colOff>1343025</xdr:colOff>
                    <xdr:row>2</xdr:row>
                    <xdr:rowOff>19050</xdr:rowOff>
                  </from>
                  <to>
                    <xdr:col>2</xdr:col>
                    <xdr:colOff>1828800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Scroll Bar 2">
              <controlPr defaultSize="0" autoPict="0">
                <anchor moveWithCells="1">
                  <from>
                    <xdr:col>2</xdr:col>
                    <xdr:colOff>1343025</xdr:colOff>
                    <xdr:row>5</xdr:row>
                    <xdr:rowOff>9525</xdr:rowOff>
                  </from>
                  <to>
                    <xdr:col>2</xdr:col>
                    <xdr:colOff>1828800</xdr:colOff>
                    <xdr:row>5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4"/>
  <sheetViews>
    <sheetView showGridLines="0" workbookViewId="0">
      <selection activeCell="D13" sqref="D13"/>
    </sheetView>
  </sheetViews>
  <sheetFormatPr defaultRowHeight="15" x14ac:dyDescent="0.25"/>
  <cols>
    <col min="1" max="1" width="5.85546875" style="1" customWidth="1"/>
    <col min="2" max="2" width="6.85546875" style="1" customWidth="1"/>
    <col min="3" max="3" width="9" style="1" customWidth="1"/>
    <col min="4" max="4" width="14.42578125" style="1" customWidth="1"/>
    <col min="5" max="6" width="13.85546875" style="1" customWidth="1"/>
    <col min="7" max="7" width="13.140625" style="1" customWidth="1"/>
    <col min="8" max="8" width="6.28515625" style="1" customWidth="1"/>
    <col min="9" max="9" width="8.28515625" style="1" customWidth="1"/>
    <col min="10" max="13" width="11.28515625" style="1" customWidth="1"/>
    <col min="14" max="14" width="5.85546875" style="1" customWidth="1"/>
    <col min="15" max="16384" width="9.140625" style="1"/>
  </cols>
  <sheetData>
    <row r="1" spans="2:7" ht="19.5" customHeight="1" x14ac:dyDescent="0.25"/>
    <row r="2" spans="2:7" ht="18.75" x14ac:dyDescent="0.25">
      <c r="B2" s="4" t="s">
        <v>22</v>
      </c>
    </row>
    <row r="3" spans="2:7" x14ac:dyDescent="0.25">
      <c r="B3" s="95" t="s">
        <v>104</v>
      </c>
    </row>
    <row r="4" spans="2:7" x14ac:dyDescent="0.25">
      <c r="B4" s="95" t="s">
        <v>105</v>
      </c>
    </row>
    <row r="5" spans="2:7" s="16" customFormat="1" ht="16.5" customHeight="1" x14ac:dyDescent="0.25">
      <c r="B5" s="6" t="s">
        <v>23</v>
      </c>
      <c r="C5" s="6"/>
      <c r="D5" s="6"/>
      <c r="E5" s="6"/>
      <c r="F5" s="27">
        <v>54000000</v>
      </c>
    </row>
    <row r="6" spans="2:7" s="16" customFormat="1" ht="16.5" customHeight="1" x14ac:dyDescent="0.25">
      <c r="B6" s="6" t="s">
        <v>25</v>
      </c>
      <c r="C6" s="6"/>
      <c r="D6" s="6"/>
      <c r="E6" s="6"/>
      <c r="F6" s="27">
        <v>4500000</v>
      </c>
    </row>
    <row r="7" spans="2:7" s="16" customFormat="1" ht="16.5" customHeight="1" x14ac:dyDescent="0.25">
      <c r="B7" s="6" t="s">
        <v>31</v>
      </c>
      <c r="C7" s="6"/>
      <c r="D7" s="6"/>
      <c r="E7" s="6"/>
      <c r="F7" s="27">
        <v>4500000</v>
      </c>
    </row>
    <row r="8" spans="2:7" x14ac:dyDescent="0.25">
      <c r="B8" s="29" t="s">
        <v>33</v>
      </c>
      <c r="C8" s="24"/>
      <c r="D8" s="24"/>
      <c r="E8" s="24"/>
      <c r="F8" s="24"/>
    </row>
    <row r="10" spans="2:7" x14ac:dyDescent="0.25">
      <c r="B10" s="12" t="s">
        <v>24</v>
      </c>
    </row>
    <row r="11" spans="2:7" x14ac:dyDescent="0.25">
      <c r="B11" s="134" t="s">
        <v>26</v>
      </c>
      <c r="C11" s="28" t="s">
        <v>27</v>
      </c>
      <c r="D11" s="135" t="s">
        <v>23</v>
      </c>
      <c r="E11" s="135" t="s">
        <v>28</v>
      </c>
      <c r="F11" s="135" t="s">
        <v>29</v>
      </c>
      <c r="G11" s="136" t="s">
        <v>30</v>
      </c>
    </row>
    <row r="12" spans="2:7" x14ac:dyDescent="0.25">
      <c r="B12" s="134"/>
      <c r="C12" s="28" t="s">
        <v>32</v>
      </c>
      <c r="D12" s="135"/>
      <c r="E12" s="135"/>
      <c r="F12" s="135"/>
      <c r="G12" s="136"/>
    </row>
    <row r="13" spans="2:7" x14ac:dyDescent="0.25">
      <c r="B13" s="30">
        <v>1</v>
      </c>
      <c r="C13" s="31" t="s">
        <v>34</v>
      </c>
      <c r="D13" s="128">
        <f t="shared" ref="D13:D20" si="0">F$5</f>
        <v>54000000</v>
      </c>
      <c r="E13" s="128">
        <v>0</v>
      </c>
      <c r="F13" s="128">
        <v>0</v>
      </c>
      <c r="G13" s="129">
        <f t="shared" ref="G13:G20" si="1">SUM(D13:F13)</f>
        <v>54000000</v>
      </c>
    </row>
    <row r="14" spans="2:7" x14ac:dyDescent="0.25">
      <c r="B14" s="30">
        <v>2</v>
      </c>
      <c r="C14" s="31" t="s">
        <v>35</v>
      </c>
      <c r="D14" s="128">
        <f t="shared" si="0"/>
        <v>54000000</v>
      </c>
      <c r="E14" s="128">
        <v>0</v>
      </c>
      <c r="F14" s="128">
        <f>VALUE(RIGHT(C14,1))*F$7</f>
        <v>4500000</v>
      </c>
      <c r="G14" s="129">
        <f t="shared" si="1"/>
        <v>58500000</v>
      </c>
    </row>
    <row r="15" spans="2:7" x14ac:dyDescent="0.25">
      <c r="B15" s="30">
        <v>3</v>
      </c>
      <c r="C15" s="31" t="s">
        <v>36</v>
      </c>
      <c r="D15" s="128">
        <f t="shared" si="0"/>
        <v>54000000</v>
      </c>
      <c r="E15" s="128">
        <v>0</v>
      </c>
      <c r="F15" s="128">
        <f>VALUE(RIGHT(C15,1))*F$7</f>
        <v>9000000</v>
      </c>
      <c r="G15" s="129">
        <f t="shared" si="1"/>
        <v>63000000</v>
      </c>
    </row>
    <row r="16" spans="2:7" x14ac:dyDescent="0.25">
      <c r="B16" s="30">
        <v>4</v>
      </c>
      <c r="C16" s="31" t="s">
        <v>37</v>
      </c>
      <c r="D16" s="128">
        <f t="shared" si="0"/>
        <v>54000000</v>
      </c>
      <c r="E16" s="128">
        <v>0</v>
      </c>
      <c r="F16" s="128">
        <f>VALUE(RIGHT(C16,1))*F$7</f>
        <v>13500000</v>
      </c>
      <c r="G16" s="129">
        <f t="shared" si="1"/>
        <v>67500000</v>
      </c>
    </row>
    <row r="17" spans="2:7" x14ac:dyDescent="0.25">
      <c r="B17" s="30">
        <v>5</v>
      </c>
      <c r="C17" s="31" t="s">
        <v>38</v>
      </c>
      <c r="D17" s="128">
        <f t="shared" si="0"/>
        <v>54000000</v>
      </c>
      <c r="E17" s="128">
        <f>F$6</f>
        <v>4500000</v>
      </c>
      <c r="F17" s="128">
        <f>F13</f>
        <v>0</v>
      </c>
      <c r="G17" s="129">
        <f t="shared" si="1"/>
        <v>58500000</v>
      </c>
    </row>
    <row r="18" spans="2:7" x14ac:dyDescent="0.25">
      <c r="B18" s="30">
        <v>6</v>
      </c>
      <c r="C18" s="31" t="s">
        <v>39</v>
      </c>
      <c r="D18" s="128">
        <f t="shared" si="0"/>
        <v>54000000</v>
      </c>
      <c r="E18" s="128">
        <f>F$6</f>
        <v>4500000</v>
      </c>
      <c r="F18" s="128">
        <f>VALUE(RIGHT(C18,1))*F$7</f>
        <v>4500000</v>
      </c>
      <c r="G18" s="129">
        <f t="shared" si="1"/>
        <v>63000000</v>
      </c>
    </row>
    <row r="19" spans="2:7" ht="15" customHeight="1" x14ac:dyDescent="0.25">
      <c r="B19" s="30">
        <v>7</v>
      </c>
      <c r="C19" s="31" t="s">
        <v>40</v>
      </c>
      <c r="D19" s="128">
        <f t="shared" si="0"/>
        <v>54000000</v>
      </c>
      <c r="E19" s="128">
        <f>F$6</f>
        <v>4500000</v>
      </c>
      <c r="F19" s="128">
        <f>VALUE(RIGHT(C19,1))*F$7</f>
        <v>9000000</v>
      </c>
      <c r="G19" s="129">
        <f t="shared" si="1"/>
        <v>67500000</v>
      </c>
    </row>
    <row r="20" spans="2:7" x14ac:dyDescent="0.25">
      <c r="B20" s="30">
        <v>8</v>
      </c>
      <c r="C20" s="31" t="s">
        <v>41</v>
      </c>
      <c r="D20" s="128">
        <f t="shared" si="0"/>
        <v>54000000</v>
      </c>
      <c r="E20" s="128">
        <f>F$6</f>
        <v>4500000</v>
      </c>
      <c r="F20" s="128">
        <f>VALUE(RIGHT(C20,1))*F$7</f>
        <v>13500000</v>
      </c>
      <c r="G20" s="129">
        <f t="shared" si="1"/>
        <v>72000000</v>
      </c>
    </row>
    <row r="22" spans="2:7" x14ac:dyDescent="0.25">
      <c r="B22" s="1" t="s">
        <v>42</v>
      </c>
      <c r="D22" s="1" t="s">
        <v>106</v>
      </c>
    </row>
    <row r="23" spans="2:7" x14ac:dyDescent="0.25">
      <c r="D23" s="1" t="s">
        <v>107</v>
      </c>
    </row>
    <row r="24" spans="2:7" ht="19.5" customHeight="1" x14ac:dyDescent="0.25"/>
  </sheetData>
  <mergeCells count="5">
    <mergeCell ref="B11:B12"/>
    <mergeCell ref="D11:D12"/>
    <mergeCell ref="E11:E12"/>
    <mergeCell ref="F11:F12"/>
    <mergeCell ref="G11:G12"/>
  </mergeCells>
  <pageMargins left="0.7" right="0.7" top="0.75" bottom="0.75" header="0.3" footer="0.3"/>
  <ignoredErrors>
    <ignoredError sqref="F17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4"/>
  <sheetViews>
    <sheetView showGridLines="0" workbookViewId="0">
      <selection activeCell="E4" sqref="E4"/>
    </sheetView>
  </sheetViews>
  <sheetFormatPr defaultRowHeight="15" x14ac:dyDescent="0.25"/>
  <cols>
    <col min="1" max="1" width="5.85546875" style="1" customWidth="1"/>
    <col min="2" max="2" width="6.7109375" style="1" customWidth="1"/>
    <col min="3" max="3" width="15.85546875" style="1" customWidth="1"/>
    <col min="4" max="4" width="12.7109375" style="1" customWidth="1"/>
    <col min="5" max="5" width="12.85546875" style="1" customWidth="1"/>
    <col min="6" max="6" width="3.85546875" style="1" customWidth="1"/>
    <col min="7" max="7" width="6.85546875" style="1" customWidth="1"/>
    <col min="8" max="8" width="16.28515625" style="1" customWidth="1"/>
    <col min="9" max="9" width="10.7109375" style="1" customWidth="1"/>
    <col min="10" max="10" width="5.85546875" style="1" customWidth="1"/>
    <col min="11" max="16384" width="9.140625" style="1"/>
  </cols>
  <sheetData>
    <row r="1" spans="1:9" ht="19.5" customHeight="1" x14ac:dyDescent="0.25"/>
    <row r="2" spans="1:9" ht="18.75" x14ac:dyDescent="0.25">
      <c r="B2" s="4" t="s">
        <v>57</v>
      </c>
    </row>
    <row r="3" spans="1:9" ht="16.5" customHeight="1" x14ac:dyDescent="0.25">
      <c r="A3" s="17">
        <v>8</v>
      </c>
      <c r="B3" s="6" t="s">
        <v>8</v>
      </c>
      <c r="C3" s="7"/>
      <c r="D3" s="45"/>
      <c r="E3" s="9" t="str">
        <f>VLOOKUP(A3,STATUS,2)</f>
        <v>K/3</v>
      </c>
      <c r="G3" s="52" t="s">
        <v>58</v>
      </c>
      <c r="H3" s="53"/>
      <c r="I3" s="53"/>
    </row>
    <row r="4" spans="1:9" ht="16.5" customHeight="1" x14ac:dyDescent="0.25">
      <c r="B4" s="46" t="s">
        <v>24</v>
      </c>
      <c r="C4" s="25"/>
      <c r="D4" s="25"/>
      <c r="E4" s="47">
        <f>VLOOKUP(A3,PTKP,6)</f>
        <v>72000000</v>
      </c>
      <c r="G4" s="54" t="s">
        <v>23</v>
      </c>
      <c r="I4" s="55">
        <f>KASUS6!D13</f>
        <v>54000000</v>
      </c>
    </row>
    <row r="5" spans="1:9" ht="16.5" customHeight="1" x14ac:dyDescent="0.25">
      <c r="B5" s="48"/>
      <c r="C5" s="49"/>
      <c r="D5" s="50"/>
      <c r="E5" s="51"/>
      <c r="G5" s="54" t="s">
        <v>59</v>
      </c>
      <c r="I5" s="55">
        <f>IF(LEFT(E3,2)="TK",0,KASUS6!E17)</f>
        <v>4500000</v>
      </c>
    </row>
    <row r="6" spans="1:9" ht="16.5" customHeight="1" x14ac:dyDescent="0.25">
      <c r="E6" s="53"/>
      <c r="G6" s="54" t="s">
        <v>29</v>
      </c>
      <c r="I6" s="59">
        <f>IF(RIGHT(E3,1)="-",0,RIGHT(E3,1)*KASUS6!E17)</f>
        <v>13500000</v>
      </c>
    </row>
    <row r="7" spans="1:9" ht="16.5" customHeight="1" x14ac:dyDescent="0.25">
      <c r="E7" s="53"/>
      <c r="G7" s="61"/>
      <c r="H7" s="53"/>
      <c r="I7" s="55">
        <f>SUM(I4:I6)</f>
        <v>72000000</v>
      </c>
    </row>
    <row r="8" spans="1:9" ht="19.5" customHeight="1" x14ac:dyDescent="0.25">
      <c r="E8" s="57"/>
      <c r="G8" s="123"/>
      <c r="H8" s="124"/>
    </row>
    <row r="9" spans="1:9" ht="16.5" customHeight="1" x14ac:dyDescent="0.25">
      <c r="E9" s="60"/>
      <c r="G9" s="125"/>
      <c r="H9" s="124"/>
    </row>
    <row r="10" spans="1:9" ht="16.5" customHeight="1" x14ac:dyDescent="0.25">
      <c r="E10" s="60"/>
      <c r="G10" s="125"/>
      <c r="H10" s="124"/>
    </row>
    <row r="11" spans="1:9" ht="16.5" customHeight="1" x14ac:dyDescent="0.25">
      <c r="B11" s="61"/>
      <c r="C11" s="53"/>
      <c r="D11" s="53"/>
      <c r="E11" s="60"/>
      <c r="G11" s="125"/>
      <c r="H11" s="124"/>
    </row>
    <row r="12" spans="1:9" ht="16.5" customHeight="1" x14ac:dyDescent="0.25">
      <c r="G12" s="125"/>
      <c r="H12" s="124"/>
    </row>
    <row r="13" spans="1:9" ht="16.5" customHeight="1" x14ac:dyDescent="0.25">
      <c r="G13" s="125"/>
      <c r="H13" s="124"/>
    </row>
    <row r="14" spans="1:9" ht="19.5" customHeight="1" x14ac:dyDescent="0.25"/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Scroll Bar 1">
              <controlPr defaultSize="0" autoPict="0">
                <anchor moveWithCells="1">
                  <from>
                    <xdr:col>3</xdr:col>
                    <xdr:colOff>190500</xdr:colOff>
                    <xdr:row>2</xdr:row>
                    <xdr:rowOff>19050</xdr:rowOff>
                  </from>
                  <to>
                    <xdr:col>3</xdr:col>
                    <xdr:colOff>676275</xdr:colOff>
                    <xdr:row>2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3"/>
  <sheetViews>
    <sheetView showGridLines="0" workbookViewId="0">
      <selection activeCell="E5" sqref="E5"/>
    </sheetView>
  </sheetViews>
  <sheetFormatPr defaultRowHeight="15" x14ac:dyDescent="0.25"/>
  <cols>
    <col min="1" max="1" width="5.85546875" style="1" customWidth="1"/>
    <col min="2" max="2" width="6.7109375" style="1" customWidth="1"/>
    <col min="3" max="3" width="19.5703125" style="1" customWidth="1"/>
    <col min="4" max="4" width="8.42578125" style="1" customWidth="1"/>
    <col min="5" max="5" width="14.5703125" style="1" customWidth="1"/>
    <col min="6" max="6" width="49.5703125" style="1" customWidth="1"/>
    <col min="7" max="7" width="5.85546875" style="1" customWidth="1"/>
    <col min="8" max="16384" width="9.140625" style="1"/>
  </cols>
  <sheetData>
    <row r="1" spans="1:6" ht="19.5" customHeight="1" x14ac:dyDescent="0.25"/>
    <row r="2" spans="1:6" ht="18.75" x14ac:dyDescent="0.25">
      <c r="B2" s="4" t="s">
        <v>60</v>
      </c>
    </row>
    <row r="3" spans="1:6" ht="16.5" customHeight="1" x14ac:dyDescent="0.25">
      <c r="B3" s="6" t="s">
        <v>7</v>
      </c>
      <c r="C3" s="7"/>
      <c r="D3" s="7"/>
      <c r="E3" s="62"/>
    </row>
    <row r="4" spans="1:6" ht="16.5" customHeight="1" x14ac:dyDescent="0.25">
      <c r="A4" s="17">
        <v>8</v>
      </c>
      <c r="B4" s="6" t="s">
        <v>8</v>
      </c>
      <c r="C4" s="7"/>
      <c r="D4" s="7"/>
      <c r="E4" s="63" t="str">
        <f>VLOOKUP(A4,STATUS,2)</f>
        <v>K/3</v>
      </c>
    </row>
    <row r="5" spans="1:6" ht="16.5" customHeight="1" x14ac:dyDescent="0.25">
      <c r="A5" s="17">
        <v>1800</v>
      </c>
      <c r="B5" s="56" t="s">
        <v>13</v>
      </c>
      <c r="C5" s="64"/>
      <c r="D5" s="64"/>
      <c r="E5" s="65">
        <f>A5*100000</f>
        <v>180000000</v>
      </c>
    </row>
    <row r="6" spans="1:6" ht="16.5" customHeight="1" x14ac:dyDescent="0.25">
      <c r="A6" s="17"/>
      <c r="B6" s="46" t="s">
        <v>61</v>
      </c>
      <c r="C6" s="25"/>
      <c r="D6" s="25"/>
      <c r="E6" s="8"/>
    </row>
    <row r="7" spans="1:6" ht="16.5" customHeight="1" x14ac:dyDescent="0.25">
      <c r="A7" s="17"/>
      <c r="B7" s="25"/>
      <c r="C7" s="25" t="s">
        <v>4</v>
      </c>
      <c r="D7" s="25"/>
      <c r="E7" s="21">
        <f>IF(5%*E5&gt;500000*12,500000*12,5%*E5)</f>
        <v>6000000</v>
      </c>
      <c r="F7" s="127" t="str">
        <f>IF(E5*5%&lt;=KASUS4!D5,"&lt;&lt; karena tidak melebihi","&lt;&lt; karena melebihi")&amp;" batas maksimal yang diperkenankan"</f>
        <v>&lt;&lt; karena melebihi batas maksimal yang diperkenankan</v>
      </c>
    </row>
    <row r="8" spans="1:6" ht="16.5" customHeight="1" x14ac:dyDescent="0.25">
      <c r="A8" s="17">
        <v>900</v>
      </c>
      <c r="B8" s="25"/>
      <c r="C8" s="25" t="s">
        <v>62</v>
      </c>
      <c r="D8" s="25"/>
      <c r="E8" s="66">
        <f>A8*1000</f>
        <v>900000</v>
      </c>
    </row>
    <row r="9" spans="1:6" ht="16.5" customHeight="1" x14ac:dyDescent="0.25">
      <c r="B9" s="25"/>
      <c r="C9" s="25"/>
      <c r="D9" s="26" t="s">
        <v>63</v>
      </c>
      <c r="E9" s="21">
        <f>SUM(E7:E8)</f>
        <v>6900000</v>
      </c>
    </row>
    <row r="10" spans="1:6" ht="16.5" customHeight="1" x14ac:dyDescent="0.25">
      <c r="B10" s="46" t="s">
        <v>6</v>
      </c>
      <c r="C10" s="25"/>
      <c r="D10" s="25"/>
      <c r="E10" s="67">
        <f>E5-E9</f>
        <v>173100000</v>
      </c>
    </row>
    <row r="11" spans="1:6" ht="16.5" customHeight="1" x14ac:dyDescent="0.25">
      <c r="B11" s="46" t="str">
        <f>"Penghasilan Tidak Kena Pajak - "&amp;E4</f>
        <v>Penghasilan Tidak Kena Pajak - K/3</v>
      </c>
      <c r="C11" s="25"/>
      <c r="D11" s="25"/>
      <c r="E11" s="21">
        <f>VLOOKUP(A4,PTKP,6)</f>
        <v>72000000</v>
      </c>
    </row>
    <row r="12" spans="1:6" ht="16.5" customHeight="1" thickBot="1" x14ac:dyDescent="0.3">
      <c r="B12" s="46" t="s">
        <v>64</v>
      </c>
      <c r="C12" s="25"/>
      <c r="D12" s="25"/>
      <c r="E12" s="68">
        <f>E10-E11</f>
        <v>101100000</v>
      </c>
    </row>
    <row r="13" spans="1:6" ht="19.5" customHeight="1" thickTop="1" x14ac:dyDescent="0.25">
      <c r="E13" s="2"/>
    </row>
  </sheetData>
  <pageMargins left="0.7" right="0.7" top="0.75" bottom="0.75" header="0.3" footer="0.3"/>
  <pageSetup paperSize="9" orientation="portrait" horizontalDpi="4294967293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Scroll Bar 1">
              <controlPr defaultSize="0" autoPict="0">
                <anchor moveWithCells="1">
                  <from>
                    <xdr:col>2</xdr:col>
                    <xdr:colOff>1295400</xdr:colOff>
                    <xdr:row>4</xdr:row>
                    <xdr:rowOff>19050</xdr:rowOff>
                  </from>
                  <to>
                    <xdr:col>3</xdr:col>
                    <xdr:colOff>476250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Scroll Bar 2">
              <controlPr defaultSize="0" autoPict="0">
                <anchor moveWithCells="1">
                  <from>
                    <xdr:col>2</xdr:col>
                    <xdr:colOff>1323975</xdr:colOff>
                    <xdr:row>7</xdr:row>
                    <xdr:rowOff>19050</xdr:rowOff>
                  </from>
                  <to>
                    <xdr:col>3</xdr:col>
                    <xdr:colOff>485775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6" name="Scroll Bar 3">
              <controlPr defaultSize="0" autoPict="0">
                <anchor moveWithCells="1">
                  <from>
                    <xdr:col>2</xdr:col>
                    <xdr:colOff>1295400</xdr:colOff>
                    <xdr:row>3</xdr:row>
                    <xdr:rowOff>19050</xdr:rowOff>
                  </from>
                  <to>
                    <xdr:col>3</xdr:col>
                    <xdr:colOff>476250</xdr:colOff>
                    <xdr:row>3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2"/>
  <sheetViews>
    <sheetView showGridLines="0" workbookViewId="0">
      <selection activeCell="F14" sqref="F14"/>
    </sheetView>
  </sheetViews>
  <sheetFormatPr defaultRowHeight="15" x14ac:dyDescent="0.25"/>
  <cols>
    <col min="1" max="1" width="5.85546875" style="1" customWidth="1"/>
    <col min="2" max="3" width="9.140625" style="1"/>
    <col min="4" max="4" width="7.28515625" style="1" customWidth="1"/>
    <col min="5" max="5" width="12.42578125" style="1" customWidth="1"/>
    <col min="6" max="6" width="12.85546875" style="1" customWidth="1"/>
    <col min="7" max="7" width="6.42578125" style="1" customWidth="1"/>
    <col min="8" max="8" width="12" style="1" customWidth="1"/>
    <col min="9" max="9" width="5.85546875" style="1" customWidth="1"/>
    <col min="10" max="10" width="67.5703125" style="1" customWidth="1"/>
    <col min="11" max="11" width="5.85546875" style="1" customWidth="1"/>
    <col min="12" max="16384" width="9.140625" style="1"/>
  </cols>
  <sheetData>
    <row r="1" spans="1:10" ht="19.5" customHeight="1" x14ac:dyDescent="0.25">
      <c r="E1" s="69"/>
    </row>
    <row r="2" spans="1:10" ht="18.75" x14ac:dyDescent="0.25">
      <c r="B2" s="4" t="s">
        <v>66</v>
      </c>
    </row>
    <row r="3" spans="1:10" s="71" customFormat="1" ht="15" customHeight="1" x14ac:dyDescent="0.25">
      <c r="B3" s="70" t="s">
        <v>67</v>
      </c>
    </row>
    <row r="4" spans="1:10" s="72" customFormat="1" ht="15" customHeight="1" x14ac:dyDescent="0.25"/>
    <row r="5" spans="1:10" s="72" customFormat="1" ht="15" customHeight="1" x14ac:dyDescent="0.25"/>
    <row r="6" spans="1:10" s="72" customFormat="1" ht="15" customHeight="1" x14ac:dyDescent="0.25"/>
    <row r="7" spans="1:10" s="72" customFormat="1" ht="15" customHeight="1" x14ac:dyDescent="0.25"/>
    <row r="8" spans="1:10" s="72" customFormat="1" ht="15" customHeight="1" x14ac:dyDescent="0.25"/>
    <row r="9" spans="1:10" s="72" customFormat="1" ht="15" customHeight="1" x14ac:dyDescent="0.25"/>
    <row r="10" spans="1:10" s="72" customFormat="1" ht="15" customHeight="1" x14ac:dyDescent="0.25"/>
    <row r="11" spans="1:10" s="72" customFormat="1" ht="15" customHeight="1" x14ac:dyDescent="0.25"/>
    <row r="12" spans="1:10" s="72" customFormat="1" ht="15" customHeight="1" x14ac:dyDescent="0.25"/>
    <row r="13" spans="1:10" s="72" customFormat="1" ht="15" customHeight="1" x14ac:dyDescent="0.25"/>
    <row r="14" spans="1:10" ht="18" customHeight="1" x14ac:dyDescent="0.25">
      <c r="A14" s="17">
        <v>600</v>
      </c>
      <c r="B14" s="6" t="s">
        <v>64</v>
      </c>
      <c r="C14" s="7"/>
      <c r="D14" s="7"/>
      <c r="E14" s="7"/>
      <c r="F14" s="73">
        <f>A14*1000000</f>
        <v>600000000</v>
      </c>
      <c r="H14" s="10"/>
      <c r="I14" s="12" t="s">
        <v>55</v>
      </c>
    </row>
    <row r="15" spans="1:10" x14ac:dyDescent="0.25">
      <c r="I15" s="13" t="s">
        <v>9</v>
      </c>
      <c r="J15" s="14" t="s">
        <v>56</v>
      </c>
    </row>
    <row r="16" spans="1:10" x14ac:dyDescent="0.25">
      <c r="B16" s="74" t="s">
        <v>68</v>
      </c>
      <c r="D16" s="33" t="s">
        <v>69</v>
      </c>
      <c r="E16" s="75" t="s">
        <v>70</v>
      </c>
      <c r="F16" s="75" t="s">
        <v>71</v>
      </c>
      <c r="I16" s="122" t="s">
        <v>81</v>
      </c>
      <c r="J16" s="58" t="s">
        <v>99</v>
      </c>
    </row>
    <row r="17" spans="4:10" x14ac:dyDescent="0.25">
      <c r="D17" s="76">
        <v>0.05</v>
      </c>
      <c r="E17" s="77">
        <f>IF(F14&lt;50000000,F14,50000000)</f>
        <v>50000000</v>
      </c>
      <c r="F17" s="77">
        <f>IF(E17=0,0,D17*E17)</f>
        <v>2500000</v>
      </c>
      <c r="I17" s="122" t="s">
        <v>72</v>
      </c>
      <c r="J17" s="58" t="s">
        <v>100</v>
      </c>
    </row>
    <row r="18" spans="4:10" x14ac:dyDescent="0.25">
      <c r="D18" s="78">
        <v>0.15</v>
      </c>
      <c r="E18" s="79">
        <f>IF(F14&lt;=50000000,0,IF(F14&lt;=250000000,F14-E17,200000000))</f>
        <v>200000000</v>
      </c>
      <c r="F18" s="32">
        <f>IF(E18=0,0,D18*E18)</f>
        <v>30000000</v>
      </c>
      <c r="I18" s="122" t="s">
        <v>73</v>
      </c>
      <c r="J18" s="58" t="s">
        <v>101</v>
      </c>
    </row>
    <row r="19" spans="4:10" x14ac:dyDescent="0.25">
      <c r="D19" s="78">
        <v>0.25</v>
      </c>
      <c r="E19" s="79">
        <f>IF(F14&lt;=250000000,0,IF(F14&lt;=500000000,F14-SUM(E17:E18),250000000))</f>
        <v>250000000</v>
      </c>
      <c r="F19" s="32">
        <f>IF(E19=0,0,D19*E19)</f>
        <v>62500000</v>
      </c>
      <c r="I19" s="122" t="s">
        <v>74</v>
      </c>
      <c r="J19" s="58" t="s">
        <v>102</v>
      </c>
    </row>
    <row r="20" spans="4:10" x14ac:dyDescent="0.25">
      <c r="D20" s="80">
        <v>0.3</v>
      </c>
      <c r="E20" s="81">
        <f>IF(F14&lt;500000000,0,F14-SUM(E17:E19))</f>
        <v>100000000</v>
      </c>
      <c r="F20" s="82">
        <f>IF(E20=0,0,D20*E20)</f>
        <v>30000000</v>
      </c>
      <c r="I20" s="122" t="s">
        <v>82</v>
      </c>
      <c r="J20" s="63" t="s">
        <v>103</v>
      </c>
    </row>
    <row r="21" spans="4:10" x14ac:dyDescent="0.25">
      <c r="D21" s="130" t="s">
        <v>75</v>
      </c>
      <c r="E21" s="130"/>
      <c r="F21" s="21">
        <f>SUM(F17:F20)</f>
        <v>125000000</v>
      </c>
      <c r="I21" s="122" t="s">
        <v>83</v>
      </c>
      <c r="J21" s="47" t="s">
        <v>84</v>
      </c>
    </row>
    <row r="22" spans="4:10" ht="19.5" customHeight="1" x14ac:dyDescent="0.25"/>
  </sheetData>
  <mergeCells count="1">
    <mergeCell ref="D21:E21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3" name="Scroll Bar 1">
              <controlPr defaultSize="0" autoPict="0">
                <anchor moveWithCells="1">
                  <from>
                    <xdr:col>4</xdr:col>
                    <xdr:colOff>257175</xdr:colOff>
                    <xdr:row>13</xdr:row>
                    <xdr:rowOff>28575</xdr:rowOff>
                  </from>
                  <to>
                    <xdr:col>4</xdr:col>
                    <xdr:colOff>742950</xdr:colOff>
                    <xdr:row>13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3</vt:i4>
      </vt:variant>
    </vt:vector>
  </HeadingPairs>
  <TitlesOfParts>
    <vt:vector size="14" baseType="lpstr">
      <vt:lpstr>KASUS1</vt:lpstr>
      <vt:lpstr>KASUS2</vt:lpstr>
      <vt:lpstr>KASUS3</vt:lpstr>
      <vt:lpstr>KASUS4</vt:lpstr>
      <vt:lpstr>KASUS5</vt:lpstr>
      <vt:lpstr>KASUS6</vt:lpstr>
      <vt:lpstr>KASUS7</vt:lpstr>
      <vt:lpstr>KASUS8</vt:lpstr>
      <vt:lpstr>KASUS9</vt:lpstr>
      <vt:lpstr>KASUS10</vt:lpstr>
      <vt:lpstr>KASUS11</vt:lpstr>
      <vt:lpstr>ARTI</vt:lpstr>
      <vt:lpstr>PTKP</vt:lpstr>
      <vt:lpstr>STATUS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2016-01-10T04:44:39Z</dcterms:created>
  <dcterms:modified xsi:type="dcterms:W3CDTF">2019-05-29T08:39:11Z</dcterms:modified>
</cp:coreProperties>
</file>